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72" windowWidth="18240" windowHeight="12576" tabRatio="732" activeTab="0"/>
  </bookViews>
  <sheets>
    <sheet name="SGRS Requirements" sheetId="1" r:id="rId1"/>
    <sheet name="600A Delta" sheetId="2" r:id="rId2"/>
    <sheet name="600A Delta sht2" sheetId="3" r:id="rId3"/>
    <sheet name="800A Delta" sheetId="4" r:id="rId4"/>
    <sheet name="800A Delta sht2" sheetId="5" r:id="rId5"/>
    <sheet name="600A Wye" sheetId="6" r:id="rId6"/>
    <sheet name="600A Wye sht2" sheetId="7" r:id="rId7"/>
    <sheet name="CB Sizes" sheetId="8" r:id="rId8"/>
    <sheet name="Sheet3" sheetId="9" r:id="rId9"/>
  </sheets>
  <definedNames>
    <definedName name="_xlnm.Print_Area" localSheetId="2">'600A Delta sht2'!$A$65:$H$81</definedName>
    <definedName name="_xlnm.Print_Area" localSheetId="6">'600A Wye sht2'!$A$65:$H$81</definedName>
    <definedName name="_xlnm.Print_Area" localSheetId="4">'800A Delta sht2'!$A$65:$H$81</definedName>
    <definedName name="_xlnm.Print_Area" localSheetId="0">'SGRS Requirements'!$A$1:$V$150</definedName>
    <definedName name="_xlnm.Print_Titles" localSheetId="0">'SGRS Requirements'!$1:$13</definedName>
  </definedNames>
  <calcPr fullCalcOnLoad="1"/>
</workbook>
</file>

<file path=xl/sharedStrings.xml><?xml version="1.0" encoding="utf-8"?>
<sst xmlns="http://schemas.openxmlformats.org/spreadsheetml/2006/main" count="670" uniqueCount="315">
  <si>
    <t>30's From A-B</t>
  </si>
  <si>
    <t>15's From A-C</t>
  </si>
  <si>
    <t>20's From A-B</t>
  </si>
  <si>
    <t>10's From A-B</t>
  </si>
  <si>
    <t>7.5's From A-B</t>
  </si>
  <si>
    <t>4's From A-B</t>
  </si>
  <si>
    <t>15's From A-B</t>
  </si>
  <si>
    <t>Size</t>
  </si>
  <si>
    <t>PF</t>
  </si>
  <si>
    <t>Efficiency</t>
  </si>
  <si>
    <t>Voltage</t>
  </si>
  <si>
    <t>30's From A-C</t>
  </si>
  <si>
    <t>20's From A-C</t>
  </si>
  <si>
    <t>10's From A-C</t>
  </si>
  <si>
    <t>7.5's From A-C</t>
  </si>
  <si>
    <t>4's From A-C</t>
  </si>
  <si>
    <t>30's From B-C</t>
  </si>
  <si>
    <t>20's From B-C</t>
  </si>
  <si>
    <t>15's From B-C</t>
  </si>
  <si>
    <t>10's From B-C</t>
  </si>
  <si>
    <t>7.5's From B-C</t>
  </si>
  <si>
    <t>4's From B-C</t>
  </si>
  <si>
    <t>Number</t>
  </si>
  <si>
    <t>Ia</t>
  </si>
  <si>
    <t>Ib</t>
  </si>
  <si>
    <t>Ic</t>
  </si>
  <si>
    <t>Magnitude</t>
  </si>
  <si>
    <t>Real</t>
  </si>
  <si>
    <t>Imag</t>
  </si>
  <si>
    <t>Mag</t>
  </si>
  <si>
    <t>Angle</t>
  </si>
  <si>
    <t>degrees</t>
  </si>
  <si>
    <t>Inverse</t>
  </si>
  <si>
    <t>angle</t>
  </si>
  <si>
    <t>Iab</t>
  </si>
  <si>
    <t>Iac</t>
  </si>
  <si>
    <t>Ibc</t>
  </si>
  <si>
    <t>Ibc phased</t>
  </si>
  <si>
    <t>Iac phased</t>
  </si>
  <si>
    <t>%</t>
  </si>
  <si>
    <t>Total</t>
  </si>
  <si>
    <t>Current on A</t>
  </si>
  <si>
    <t>Current on B</t>
  </si>
  <si>
    <t>Current on C</t>
  </si>
  <si>
    <t>Regulator size</t>
  </si>
  <si>
    <t>Lamps out factor</t>
  </si>
  <si>
    <t>Individual phases</t>
  </si>
  <si>
    <t>Misc</t>
  </si>
  <si>
    <t>Max SGRS power</t>
  </si>
  <si>
    <t xml:space="preserve">Sum of single phase current </t>
  </si>
  <si>
    <t>Current phasor contributions</t>
  </si>
  <si>
    <t>Regulator size data</t>
  </si>
  <si>
    <t>Instructions:</t>
  </si>
  <si>
    <t>1) Determine the numbers and sizes of the regulators to be used in the SGRS</t>
  </si>
  <si>
    <t>3) Compare the currents on the individual phases and shuffle regulators to balance the loads</t>
  </si>
  <si>
    <t>Notes:</t>
  </si>
  <si>
    <t xml:space="preserve">Each regulator draws current from two phases.  If a regulator is on the A-B phases, it will </t>
  </si>
  <si>
    <t>contribute to the total current on both phase A and on phase B.</t>
  </si>
  <si>
    <t xml:space="preserve">If the load on the phases exceeds 80%, future expansion needs to be carefully considered.  </t>
  </si>
  <si>
    <t>Number of Regulators</t>
  </si>
  <si>
    <t>2) Place the regulators between phase pairs attempting to place an equal load on each phase</t>
  </si>
  <si>
    <t xml:space="preserve">30 kVA </t>
  </si>
  <si>
    <t>20 kVA</t>
  </si>
  <si>
    <t>15 kVA</t>
  </si>
  <si>
    <t>10 kVA</t>
  </si>
  <si>
    <t>7.5 kVA</t>
  </si>
  <si>
    <t>4 kVA</t>
  </si>
  <si>
    <t>50 kVA</t>
  </si>
  <si>
    <t>70 kVA</t>
  </si>
  <si>
    <t>Current draw</t>
  </si>
  <si>
    <t>50's From B-C</t>
  </si>
  <si>
    <t>50's From A-C</t>
  </si>
  <si>
    <t>50's From A-B</t>
  </si>
  <si>
    <t>70's From A-B</t>
  </si>
  <si>
    <t>70's From A-C</t>
  </si>
  <si>
    <t>70's From B-C</t>
  </si>
  <si>
    <t>1L</t>
  </si>
  <si>
    <t>Because the phases get shared, this results in the equivelent of 1386 amps being available</t>
  </si>
  <si>
    <t xml:space="preserve">A single 30kW regulator contributes 82 amps of load to a SGRS.  This is nearly 6% of the   </t>
  </si>
  <si>
    <t>full capacity of a "800 amp" buss at 480 vac.</t>
  </si>
  <si>
    <t xml:space="preserve">800A Delta </t>
  </si>
  <si>
    <t>600A Delta</t>
  </si>
  <si>
    <t xml:space="preserve">It gets a little complicated.  However, a 600 amp buss can deliver 600 amps per phase.  </t>
  </si>
  <si>
    <t>Because the phases get shared, this results in the equivelent of 1039 amps being available</t>
  </si>
  <si>
    <t xml:space="preserve">A single 30kW regulator contributes 82 amps of load to a SGRS.  This is nearly 8% of the   </t>
  </si>
  <si>
    <t>full capacity of a "600 amp" buss at 480 vac.</t>
  </si>
  <si>
    <t>70's From A</t>
  </si>
  <si>
    <t>Wye Connected Loads</t>
  </si>
  <si>
    <t>50's From A</t>
  </si>
  <si>
    <t>30's From A</t>
  </si>
  <si>
    <t>20's From A</t>
  </si>
  <si>
    <t>15's From A</t>
  </si>
  <si>
    <t>10's From A</t>
  </si>
  <si>
    <t>7.5's From A</t>
  </si>
  <si>
    <t>4's From A</t>
  </si>
  <si>
    <t>70's From B</t>
  </si>
  <si>
    <t>50's From B</t>
  </si>
  <si>
    <t>30's From B</t>
  </si>
  <si>
    <t xml:space="preserve">Because the phases do not get shared, </t>
  </si>
  <si>
    <t>20's From B</t>
  </si>
  <si>
    <t>this results in the equivelent of the number of phases times the current per phase being available</t>
  </si>
  <si>
    <t>15's From B</t>
  </si>
  <si>
    <t>10's From B</t>
  </si>
  <si>
    <t>7.5's From B</t>
  </si>
  <si>
    <t>4's From B</t>
  </si>
  <si>
    <t>70's From C</t>
  </si>
  <si>
    <t xml:space="preserve">Each regulator draws current from only one phase </t>
  </si>
  <si>
    <t>50's From C</t>
  </si>
  <si>
    <t>If a regulator is on the A phase, it will add to that current only</t>
  </si>
  <si>
    <t>30's From C</t>
  </si>
  <si>
    <t>20's From C</t>
  </si>
  <si>
    <t>15's From C</t>
  </si>
  <si>
    <t>10's From C</t>
  </si>
  <si>
    <t>7.5's From C</t>
  </si>
  <si>
    <t>4's From C</t>
  </si>
  <si>
    <t>Bus Bar Max Load</t>
  </si>
  <si>
    <t>Line Voltage</t>
  </si>
  <si>
    <t>Number of Phases</t>
  </si>
  <si>
    <t>Switchgear Regulator System SGRS</t>
  </si>
  <si>
    <t>Requirements Gathering Worksheet</t>
  </si>
  <si>
    <t>Project Number:</t>
  </si>
  <si>
    <t>Airport Name:</t>
  </si>
  <si>
    <t>Configuration options for the Switchgear Regulator System</t>
  </si>
  <si>
    <t>Please enter the configuration using the drop down menu of each selection box.  Additional comments can be entered in the corresponding boxes.</t>
  </si>
  <si>
    <t>COMMENTS:</t>
  </si>
  <si>
    <t>Days:</t>
  </si>
  <si>
    <t xml:space="preserve">Number of People </t>
  </si>
  <si>
    <t>Hours:</t>
  </si>
  <si>
    <t>Type</t>
  </si>
  <si>
    <t>Powerpack Types</t>
  </si>
  <si>
    <t>Removable Powerpack</t>
  </si>
  <si>
    <t>Stackable (Not removable)</t>
  </si>
  <si>
    <t>Enclosure Ratings</t>
  </si>
  <si>
    <t>Non-Siesmic &lt;STANDARD&gt;</t>
  </si>
  <si>
    <t>Seismic Zone 4</t>
  </si>
  <si>
    <t>No. of Busses</t>
  </si>
  <si>
    <t>Single Buss &lt;STANDARD&gt;</t>
  </si>
  <si>
    <t>Circuit Breaker</t>
  </si>
  <si>
    <t>Fuseable disconnect</t>
  </si>
  <si>
    <t>Incoming Power Meter</t>
  </si>
  <si>
    <t>None</t>
  </si>
  <si>
    <t>3 Phase Meter with CT's</t>
  </si>
  <si>
    <t>3 Phase Meter with CT's and alarm contacts</t>
  </si>
  <si>
    <t>Utility Transformer Type</t>
  </si>
  <si>
    <t>Delta</t>
  </si>
  <si>
    <t>Wye</t>
  </si>
  <si>
    <t>Control Option</t>
  </si>
  <si>
    <t>Hard-wired</t>
  </si>
  <si>
    <t>ACE</t>
  </si>
  <si>
    <t>Current Sensing Relays (CSR)</t>
  </si>
  <si>
    <t>Current / Voltage (CVM)</t>
  </si>
  <si>
    <t>Digital Power Meter Only</t>
  </si>
  <si>
    <t xml:space="preserve">Door Indicator Status Points </t>
  </si>
  <si>
    <t>S1 Enclosure</t>
  </si>
  <si>
    <t>Yes - SAS Cutouts</t>
  </si>
  <si>
    <t>Yes - Other Man. Cutouts</t>
  </si>
  <si>
    <t>Interface Bay</t>
  </si>
  <si>
    <t>Powerpack Lift</t>
  </si>
  <si>
    <t>Reduced Profile Lift - Requires 7 feet clearance</t>
  </si>
  <si>
    <t>Powerpack Storage Dock</t>
  </si>
  <si>
    <t>Yes - Dual Dock houses up to two 70kW</t>
  </si>
  <si>
    <t>REGULATOR TYPE</t>
  </si>
  <si>
    <t>POWERPACK TYPE</t>
  </si>
  <si>
    <t>ENCLOSURE RATING</t>
  </si>
  <si>
    <t>NUMBER OF COPPER BUSSES</t>
  </si>
  <si>
    <t>Double Buss - Upper/Lower</t>
  </si>
  <si>
    <t>SGRS TYPE NOTES:</t>
  </si>
  <si>
    <t>SGRS TYPE</t>
  </si>
  <si>
    <t>Current Protection</t>
  </si>
  <si>
    <t>Voltage Protection</t>
  </si>
  <si>
    <t>None - External protection &lt;STANDARD&gt;</t>
  </si>
  <si>
    <t>None - External circuit breaker &lt;STANDARD&gt;</t>
  </si>
  <si>
    <t>TVSS - Transient Voltage Surge Protection</t>
  </si>
  <si>
    <t>INPUT CURRENT PROTECTION</t>
  </si>
  <si>
    <t>INPUT VOLTAGE PROTECTION</t>
  </si>
  <si>
    <t>INCOMING DIGITAL METER</t>
  </si>
  <si>
    <t>INCOMING POWER BAY NOTES:</t>
  </si>
  <si>
    <t>None &lt;STANDARD&gt;</t>
  </si>
  <si>
    <t>ACE II &lt;STANDARD&gt;</t>
  </si>
  <si>
    <t>Output Monitoring Option</t>
  </si>
  <si>
    <t>Input Monitoring Option</t>
  </si>
  <si>
    <t>Input Current / Voltage (CVM)</t>
  </si>
  <si>
    <t>POWERPACK OPTIONS</t>
  </si>
  <si>
    <t>INCOMING POWER BAY OPTIONS</t>
  </si>
  <si>
    <t>BRIGHTNESS CONTROL</t>
  </si>
  <si>
    <t>INPUT MONITORING</t>
  </si>
  <si>
    <t>OUTPUT MONITORING</t>
  </si>
  <si>
    <t>S1 SERIES CIRCUIT CUTOUT</t>
  </si>
  <si>
    <t>DOOR INDICATOR STATUS POINTS</t>
  </si>
  <si>
    <t>POWERPACK NOTES:</t>
  </si>
  <si>
    <t>IRMS Option</t>
  </si>
  <si>
    <t>IRMS Monitoring</t>
  </si>
  <si>
    <t>IRMS MONITORING</t>
  </si>
  <si>
    <t>Yes - Integrated in Powerpack</t>
  </si>
  <si>
    <t>Yes - Installed in S1 Enclosure</t>
  </si>
  <si>
    <t>No &lt;STANDARD&gt;</t>
  </si>
  <si>
    <t>Required</t>
  </si>
  <si>
    <t xml:space="preserve">  DOOR OPEN</t>
  </si>
  <si>
    <t xml:space="preserve">  FAN RUNNING</t>
  </si>
  <si>
    <t xml:space="preserve">  OVER TEMPERATURE</t>
  </si>
  <si>
    <t>OTHER OPTIONS</t>
  </si>
  <si>
    <t xml:space="preserve">  DIGITAL POWER METER</t>
  </si>
  <si>
    <t xml:space="preserve">  OPERATIONS COUNTER</t>
  </si>
  <si>
    <t xml:space="preserve">  ELAPSE TIME METER</t>
  </si>
  <si>
    <t>S1 SERIES CIRCUIT CUTOUT BAY</t>
  </si>
  <si>
    <t>CONTROL INTERFACE BAY</t>
  </si>
  <si>
    <t>MONITORING INTERFACE BAY</t>
  </si>
  <si>
    <t>S1 CUTOUT IN POWERPACK</t>
  </si>
  <si>
    <t>MONITORING Interface Bay</t>
  </si>
  <si>
    <t>Yes - Terminal Block for hardwire control</t>
  </si>
  <si>
    <t>Yes - Terminal Blocks and CT/PT Bay</t>
  </si>
  <si>
    <t>Yes - Enclosure for other man. Equipment</t>
  </si>
  <si>
    <t>OTHER COMMENTS:</t>
  </si>
  <si>
    <t>POWERPACK LIFT</t>
  </si>
  <si>
    <t>POWER PACK STORAGE DOCK</t>
  </si>
  <si>
    <t xml:space="preserve">HOUSEKEEPING PAD MUST NOT EXCEED </t>
  </si>
  <si>
    <t>4 INCHES HIGH</t>
  </si>
  <si>
    <t>SPARE PARTS, TRAINING AND TESTING</t>
  </si>
  <si>
    <t>PLEASE REVIEW OR STANDARD SERVICES WILL BE PROVIDED</t>
  </si>
  <si>
    <t>SPARE PARTS REQUIRED</t>
  </si>
  <si>
    <t>FACTORY ACCEPTANCE TEST</t>
  </si>
  <si>
    <t>MAINTENANCE TRAINING</t>
  </si>
  <si>
    <t>INSTALLATION SERVICES</t>
  </si>
  <si>
    <t>Spare Parts</t>
  </si>
  <si>
    <t xml:space="preserve">Yes - Specify in Comments </t>
  </si>
  <si>
    <t>Factory Acceptance Test</t>
  </si>
  <si>
    <t xml:space="preserve">Non-witnessed FAT </t>
  </si>
  <si>
    <t>Witnessed FAT - Customer Pays</t>
  </si>
  <si>
    <t>Witnessed FAT - Contractor Pays</t>
  </si>
  <si>
    <t>Standard Training - Specify hours / days</t>
  </si>
  <si>
    <t xml:space="preserve">Special Training requirements - See Comments </t>
  </si>
  <si>
    <t>8 hours / 1 day / 1 trip</t>
  </si>
  <si>
    <t>16 hours / 2 days / 1 trip</t>
  </si>
  <si>
    <t>24 hours / 3 days / 1 trip</t>
  </si>
  <si>
    <t>32 hours / 4 days / 1 trip</t>
  </si>
  <si>
    <t>40 hours / 5 days / 1 trip</t>
  </si>
  <si>
    <t>Special - See Comments</t>
  </si>
  <si>
    <t>Training</t>
  </si>
  <si>
    <t>Training Length</t>
  </si>
  <si>
    <t>Installation</t>
  </si>
  <si>
    <t>Standard Installation Services and SAT</t>
  </si>
  <si>
    <t>None - Contractor to Install and Test</t>
  </si>
  <si>
    <t>None - Contractor to Train</t>
  </si>
  <si>
    <t>SGRS LINEUP CONFIGURATIONS</t>
  </si>
  <si>
    <t>LINEUP #1 &lt;Indicate Lineup name below&gt;</t>
  </si>
  <si>
    <t>6.6A</t>
  </si>
  <si>
    <t>20A</t>
  </si>
  <si>
    <t>Output</t>
  </si>
  <si>
    <t>CCR SIZE</t>
  </si>
  <si>
    <t>Buss Current</t>
  </si>
  <si>
    <t>Input Voltage</t>
  </si>
  <si>
    <t>480V, Wye</t>
  </si>
  <si>
    <t>600V, Wye &lt;Canada&gt;</t>
  </si>
  <si>
    <t>BUSS CURRENT RATING</t>
  </si>
  <si>
    <t xml:space="preserve">INPUT VOLTAGE </t>
  </si>
  <si>
    <t>Total Current</t>
  </si>
  <si>
    <t>Total Powerpacks</t>
  </si>
  <si>
    <t>Loading %</t>
  </si>
  <si>
    <t>Buss Current:</t>
  </si>
  <si>
    <t>Buss Voltage:</t>
  </si>
  <si>
    <t>Utility Transformer:</t>
  </si>
  <si>
    <t>Non-Siesmic is STANDARD</t>
  </si>
  <si>
    <t>600A is STANDARD</t>
  </si>
  <si>
    <t>480V, Delta is STANDARD</t>
  </si>
  <si>
    <t xml:space="preserve">480V, Delta </t>
  </si>
  <si>
    <t>Total Avail. Current:</t>
  </si>
  <si>
    <t>Current draw each</t>
  </si>
  <si>
    <t xml:space="preserve">  Must be less than 100%</t>
  </si>
  <si>
    <t>LINEUP #2 &lt;Indicate Lineup name below&gt;</t>
  </si>
  <si>
    <t>LINEUP #3 &lt;Indicate Lineup name below&gt;</t>
  </si>
  <si>
    <t>LINEUP #4 &lt;Indicate Lineup name below&gt;</t>
  </si>
  <si>
    <t>CCT (Thyristor Controlled)</t>
  </si>
  <si>
    <t>Removable Powerpack Ferro only</t>
  </si>
  <si>
    <t>CCT Thyristor Stackable only</t>
  </si>
  <si>
    <t>NOTES:</t>
  </si>
  <si>
    <t>Circuit Breaker Sizes available</t>
  </si>
  <si>
    <t>Standard</t>
  </si>
  <si>
    <t>Custom</t>
  </si>
  <si>
    <t xml:space="preserve">It gets a little complicated.  However, a 600 amp buss can deliver 346 amps per phase.  </t>
  </si>
  <si>
    <t xml:space="preserve">It gets a little complicated.  However, a 800 amp buss can deliver 461 amps per phase.  </t>
  </si>
  <si>
    <t xml:space="preserve">A single 30kW regulator contributes 114 amps of load to a SGRS.  This is nearly 9% of the   </t>
  </si>
  <si>
    <t xml:space="preserve">All regulator loads assume worst case allowed by AC 150/5345-10 with an additional </t>
  </si>
  <si>
    <t>lamps out allowance</t>
  </si>
  <si>
    <t>Reference: SGRS Load Worksheet</t>
  </si>
  <si>
    <t>Ferro (CCF/CHF)</t>
  </si>
  <si>
    <t>Ferro (CSF)</t>
  </si>
  <si>
    <t>600V, Delta &lt;Canada&gt;</t>
  </si>
  <si>
    <t>DCMU</t>
  </si>
  <si>
    <t xml:space="preserve">Battery-operated lift </t>
  </si>
  <si>
    <t xml:space="preserve">Hydrolic Lift - Requires 11 feet clearance </t>
  </si>
  <si>
    <t>Witnessed FAT - ADB Pays - Specify days / people</t>
  </si>
  <si>
    <t>Version: v.3.0</t>
  </si>
  <si>
    <t>25's From A-B</t>
  </si>
  <si>
    <t>5's From A-B</t>
  </si>
  <si>
    <t>2.5's From A-B</t>
  </si>
  <si>
    <t>2.5's From A-C</t>
  </si>
  <si>
    <t>2.5's From B-C</t>
  </si>
  <si>
    <t>25's From A-C</t>
  </si>
  <si>
    <t>5's From A-C</t>
  </si>
  <si>
    <t>25's From B-C</t>
  </si>
  <si>
    <t>5's From B-C</t>
  </si>
  <si>
    <t xml:space="preserve">25 kVA </t>
  </si>
  <si>
    <t>5 kVA</t>
  </si>
  <si>
    <t>2.5 kVA</t>
  </si>
  <si>
    <t>25's From A</t>
  </si>
  <si>
    <t>5's From A</t>
  </si>
  <si>
    <t>2.5's From A</t>
  </si>
  <si>
    <t>25's From B</t>
  </si>
  <si>
    <t>5's From B</t>
  </si>
  <si>
    <t>2.5's From B</t>
  </si>
  <si>
    <t>25's From C</t>
  </si>
  <si>
    <t>5's From C</t>
  </si>
  <si>
    <t>2.5's From C</t>
  </si>
  <si>
    <t xml:space="preserve">5 kVA </t>
  </si>
  <si>
    <t xml:space="preserve">2.5 kVA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</si>
</sst>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0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0\'000"/>
    <numFmt numFmtId="191" formatCode="#,##0.00_ ;\-#,##0.00\ "/>
    <numFmt numFmtId="192" formatCode="#,##0\ [$BF-813]"/>
    <numFmt numFmtId="193" formatCode="0.0"/>
    <numFmt numFmtId="194" formatCode="0.000"/>
    <numFmt numFmtId="195" formatCode="0.0000"/>
    <numFmt numFmtId="196" formatCode="_-* #,##0.0\ _B_F_-;\-* #,##0.0\ _B_F_-;_-* &quot;-&quot;??\ _B_F_-;_-@_-"/>
    <numFmt numFmtId="197" formatCode="_-* #,##0\ _B_F_-;\-* #,##0\ _B_F_-;_-* &quot;-&quot;??\ _B_F_-;_-@_-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00000"/>
    <numFmt numFmtId="203" formatCode="0.0000000000"/>
    <numFmt numFmtId="204" formatCode="0.00000000"/>
    <numFmt numFmtId="205" formatCode="0.0000000"/>
    <numFmt numFmtId="206" formatCode="0.000000"/>
    <numFmt numFmtId="207" formatCode="0.0000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UniversS 45 Light"/>
      <family val="0"/>
    </font>
    <font>
      <b/>
      <u val="single"/>
      <sz val="16"/>
      <color indexed="9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i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5"/>
      <name val="Arial"/>
      <family val="0"/>
    </font>
    <font>
      <i/>
      <sz val="10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/>
      <protection/>
    </xf>
    <xf numFmtId="9" fontId="0" fillId="0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5" fillId="0" borderId="0" xfId="0" applyFont="1" applyFill="1" applyBorder="1" applyAlignment="1">
      <alignment horizontal="left" indent="1"/>
    </xf>
    <xf numFmtId="0" fontId="15" fillId="35" borderId="11" xfId="0" applyFont="1" applyFill="1" applyBorder="1" applyAlignment="1">
      <alignment horizontal="left" indent="1"/>
    </xf>
    <xf numFmtId="0" fontId="14" fillId="35" borderId="12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4" fontId="0" fillId="35" borderId="13" xfId="0" applyNumberFormat="1" applyFill="1" applyBorder="1" applyAlignment="1">
      <alignment horizontal="center"/>
    </xf>
    <xf numFmtId="0" fontId="15" fillId="35" borderId="14" xfId="0" applyFont="1" applyFill="1" applyBorder="1" applyAlignment="1">
      <alignment horizontal="left" indent="1"/>
    </xf>
    <xf numFmtId="0" fontId="0" fillId="35" borderId="0" xfId="0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/>
    </xf>
    <xf numFmtId="0" fontId="15" fillId="35" borderId="16" xfId="0" applyFont="1" applyFill="1" applyBorder="1" applyAlignment="1">
      <alignment horizontal="left" indent="1"/>
    </xf>
    <xf numFmtId="0" fontId="0" fillId="35" borderId="17" xfId="0" applyFill="1" applyBorder="1" applyAlignment="1">
      <alignment horizontal="center"/>
    </xf>
    <xf numFmtId="4" fontId="0" fillId="35" borderId="18" xfId="0" applyNumberFormat="1" applyFill="1" applyBorder="1" applyAlignment="1">
      <alignment horizontal="center"/>
    </xf>
    <xf numFmtId="0" fontId="15" fillId="36" borderId="11" xfId="0" applyFont="1" applyFill="1" applyBorder="1" applyAlignment="1">
      <alignment horizontal="left" indent="1"/>
    </xf>
    <xf numFmtId="0" fontId="14" fillId="36" borderId="12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4" fontId="0" fillId="36" borderId="13" xfId="0" applyNumberFormat="1" applyFill="1" applyBorder="1" applyAlignment="1">
      <alignment horizontal="center"/>
    </xf>
    <xf numFmtId="0" fontId="15" fillId="36" borderId="14" xfId="0" applyFont="1" applyFill="1" applyBorder="1" applyAlignment="1">
      <alignment horizontal="left" indent="1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 horizontal="left" indent="1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0" fontId="15" fillId="37" borderId="11" xfId="0" applyFont="1" applyFill="1" applyBorder="1" applyAlignment="1">
      <alignment horizontal="left" indent="1"/>
    </xf>
    <xf numFmtId="0" fontId="14" fillId="37" borderId="12" xfId="0" applyFont="1" applyFill="1" applyBorder="1" applyAlignment="1">
      <alignment horizontal="left"/>
    </xf>
    <xf numFmtId="0" fontId="0" fillId="37" borderId="12" xfId="0" applyFill="1" applyBorder="1" applyAlignment="1">
      <alignment horizontal="center"/>
    </xf>
    <xf numFmtId="4" fontId="0" fillId="37" borderId="13" xfId="0" applyNumberFormat="1" applyFill="1" applyBorder="1" applyAlignment="1">
      <alignment horizontal="center"/>
    </xf>
    <xf numFmtId="0" fontId="15" fillId="37" borderId="14" xfId="0" applyFont="1" applyFill="1" applyBorder="1" applyAlignment="1">
      <alignment horizontal="left" indent="1"/>
    </xf>
    <xf numFmtId="0" fontId="0" fillId="37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4" fontId="0" fillId="37" borderId="15" xfId="0" applyNumberFormat="1" applyFill="1" applyBorder="1" applyAlignment="1">
      <alignment horizontal="center"/>
    </xf>
    <xf numFmtId="0" fontId="10" fillId="38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1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15" fillId="37" borderId="16" xfId="0" applyFont="1" applyFill="1" applyBorder="1" applyAlignment="1">
      <alignment horizontal="left" indent="1"/>
    </xf>
    <xf numFmtId="0" fontId="0" fillId="37" borderId="17" xfId="0" applyFill="1" applyBorder="1" applyAlignment="1">
      <alignment horizontal="center"/>
    </xf>
    <xf numFmtId="4" fontId="0" fillId="37" borderId="18" xfId="0" applyNumberForma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33" borderId="19" xfId="0" applyFill="1" applyBorder="1" applyAlignment="1">
      <alignment horizontal="left" indent="1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4" fontId="16" fillId="33" borderId="21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left" indent="1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36" borderId="0" xfId="0" applyFont="1" applyFill="1" applyBorder="1" applyAlignment="1">
      <alignment horizontal="right"/>
    </xf>
    <xf numFmtId="0" fontId="13" fillId="38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9" fontId="1" fillId="36" borderId="0" xfId="59" applyFont="1" applyFill="1" applyBorder="1" applyAlignment="1">
      <alignment horizontal="center"/>
    </xf>
    <xf numFmtId="0" fontId="15" fillId="35" borderId="19" xfId="0" applyFont="1" applyFill="1" applyBorder="1" applyAlignment="1">
      <alignment horizontal="left" indent="1"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1" fillId="35" borderId="0" xfId="0" applyFont="1" applyFill="1" applyBorder="1" applyAlignment="1">
      <alignment/>
    </xf>
    <xf numFmtId="4" fontId="0" fillId="35" borderId="21" xfId="0" applyNumberForma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1" fontId="0" fillId="35" borderId="0" xfId="0" applyNumberFormat="1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1" fillId="35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" fontId="1" fillId="35" borderId="0" xfId="0" applyNumberFormat="1" applyFont="1" applyFill="1" applyBorder="1" applyAlignment="1">
      <alignment horizontal="left"/>
    </xf>
    <xf numFmtId="0" fontId="14" fillId="37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right"/>
    </xf>
    <xf numFmtId="0" fontId="11" fillId="39" borderId="0" xfId="0" applyFont="1" applyFill="1" applyBorder="1" applyAlignment="1">
      <alignment horizontal="right"/>
    </xf>
    <xf numFmtId="0" fontId="18" fillId="39" borderId="0" xfId="0" applyFont="1" applyFill="1" applyBorder="1" applyAlignment="1">
      <alignment horizontal="right"/>
    </xf>
    <xf numFmtId="0" fontId="13" fillId="39" borderId="22" xfId="0" applyFont="1" applyFill="1" applyBorder="1" applyAlignment="1">
      <alignment horizontal="center"/>
    </xf>
    <xf numFmtId="0" fontId="18" fillId="39" borderId="0" xfId="0" applyFont="1" applyFill="1" applyBorder="1" applyAlignment="1">
      <alignment horizontal="center"/>
    </xf>
    <xf numFmtId="193" fontId="13" fillId="39" borderId="2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>
      <alignment horizontal="left"/>
    </xf>
    <xf numFmtId="0" fontId="0" fillId="32" borderId="0" xfId="0" applyFill="1" applyBorder="1" applyAlignment="1" quotePrefix="1">
      <alignment/>
    </xf>
    <xf numFmtId="0" fontId="5" fillId="40" borderId="19" xfId="0" applyFont="1" applyFill="1" applyBorder="1" applyAlignment="1">
      <alignment horizontal="left" indent="1"/>
    </xf>
    <xf numFmtId="0" fontId="5" fillId="40" borderId="20" xfId="0" applyFont="1" applyFill="1" applyBorder="1" applyAlignment="1">
      <alignment horizontal="left"/>
    </xf>
    <xf numFmtId="0" fontId="6" fillId="40" borderId="20" xfId="0" applyFont="1" applyFill="1" applyBorder="1" applyAlignment="1">
      <alignment horizontal="left"/>
    </xf>
    <xf numFmtId="0" fontId="7" fillId="40" borderId="20" xfId="0" applyFont="1" applyFill="1" applyBorder="1" applyAlignment="1">
      <alignment/>
    </xf>
    <xf numFmtId="0" fontId="7" fillId="40" borderId="20" xfId="0" applyFon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5" fillId="40" borderId="14" xfId="0" applyFont="1" applyFill="1" applyBorder="1" applyAlignment="1">
      <alignment horizontal="left" indent="1"/>
    </xf>
    <xf numFmtId="0" fontId="8" fillId="40" borderId="0" xfId="0" applyFont="1" applyFill="1" applyBorder="1" applyAlignment="1">
      <alignment horizontal="left"/>
    </xf>
    <xf numFmtId="0" fontId="6" fillId="40" borderId="0" xfId="0" applyFont="1" applyFill="1" applyBorder="1" applyAlignment="1">
      <alignment horizontal="left"/>
    </xf>
    <xf numFmtId="0" fontId="7" fillId="40" borderId="0" xfId="0" applyFont="1" applyFill="1" applyBorder="1" applyAlignment="1">
      <alignment/>
    </xf>
    <xf numFmtId="0" fontId="7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0" fillId="40" borderId="15" xfId="0" applyFill="1" applyBorder="1" applyAlignment="1">
      <alignment/>
    </xf>
    <xf numFmtId="0" fontId="9" fillId="40" borderId="0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  <xf numFmtId="0" fontId="10" fillId="40" borderId="0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11" fillId="40" borderId="0" xfId="0" applyFont="1" applyFill="1" applyBorder="1" applyAlignment="1">
      <alignment horizontal="left"/>
    </xf>
    <xf numFmtId="0" fontId="11" fillId="40" borderId="15" xfId="0" applyFont="1" applyFill="1" applyBorder="1" applyAlignment="1">
      <alignment horizontal="left"/>
    </xf>
    <xf numFmtId="0" fontId="10" fillId="40" borderId="14" xfId="0" applyFont="1" applyFill="1" applyBorder="1" applyAlignment="1">
      <alignment/>
    </xf>
    <xf numFmtId="0" fontId="10" fillId="40" borderId="0" xfId="0" applyFont="1" applyFill="1" applyAlignment="1">
      <alignment/>
    </xf>
    <xf numFmtId="0" fontId="11" fillId="40" borderId="0" xfId="0" applyFont="1" applyFill="1" applyBorder="1" applyAlignment="1">
      <alignment horizontal="left"/>
    </xf>
    <xf numFmtId="0" fontId="12" fillId="40" borderId="0" xfId="0" applyFont="1" applyFill="1" applyBorder="1" applyAlignment="1">
      <alignment horizontal="center"/>
    </xf>
    <xf numFmtId="0" fontId="11" fillId="40" borderId="0" xfId="0" applyFont="1" applyFill="1" applyBorder="1" applyAlignment="1">
      <alignment/>
    </xf>
    <xf numFmtId="0" fontId="11" fillId="40" borderId="0" xfId="0" applyFont="1" applyFill="1" applyBorder="1" applyAlignment="1">
      <alignment horizontal="center"/>
    </xf>
    <xf numFmtId="0" fontId="11" fillId="40" borderId="15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13" fillId="40" borderId="16" xfId="0" applyFont="1" applyFill="1" applyBorder="1" applyAlignment="1">
      <alignment/>
    </xf>
    <xf numFmtId="0" fontId="13" fillId="40" borderId="17" xfId="0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0" fontId="11" fillId="40" borderId="18" xfId="0" applyFont="1" applyFill="1" applyBorder="1" applyAlignment="1">
      <alignment/>
    </xf>
    <xf numFmtId="0" fontId="0" fillId="18" borderId="11" xfId="0" applyFill="1" applyBorder="1" applyAlignment="1">
      <alignment horizontal="left" indent="1"/>
    </xf>
    <xf numFmtId="0" fontId="14" fillId="18" borderId="12" xfId="0" applyFont="1" applyFill="1" applyBorder="1" applyAlignment="1">
      <alignment/>
    </xf>
    <xf numFmtId="0" fontId="0" fillId="18" borderId="12" xfId="0" applyFill="1" applyBorder="1" applyAlignment="1">
      <alignment horizontal="center"/>
    </xf>
    <xf numFmtId="4" fontId="0" fillId="18" borderId="13" xfId="0" applyNumberFormat="1" applyFill="1" applyBorder="1" applyAlignment="1">
      <alignment horizontal="center"/>
    </xf>
    <xf numFmtId="0" fontId="15" fillId="18" borderId="14" xfId="0" applyFont="1" applyFill="1" applyBorder="1" applyAlignment="1">
      <alignment horizontal="left" indent="1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center"/>
    </xf>
    <xf numFmtId="4" fontId="0" fillId="18" borderId="0" xfId="0" applyNumberFormat="1" applyFill="1" applyBorder="1" applyAlignment="1">
      <alignment horizontal="center"/>
    </xf>
    <xf numFmtId="4" fontId="0" fillId="18" borderId="15" xfId="0" applyNumberForma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1" fillId="18" borderId="0" xfId="0" applyFont="1" applyFill="1" applyBorder="1" applyAlignment="1">
      <alignment horizontal="left"/>
    </xf>
    <xf numFmtId="0" fontId="1" fillId="18" borderId="15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0" fillId="18" borderId="0" xfId="0" applyFill="1" applyBorder="1" applyAlignment="1">
      <alignment/>
    </xf>
    <xf numFmtId="0" fontId="13" fillId="18" borderId="0" xfId="0" applyFont="1" applyFill="1" applyBorder="1" applyAlignment="1">
      <alignment/>
    </xf>
    <xf numFmtId="0" fontId="0" fillId="18" borderId="0" xfId="0" applyFill="1" applyAlignment="1">
      <alignment/>
    </xf>
    <xf numFmtId="0" fontId="15" fillId="18" borderId="16" xfId="0" applyFont="1" applyFill="1" applyBorder="1" applyAlignment="1">
      <alignment horizontal="left" indent="1"/>
    </xf>
    <xf numFmtId="0" fontId="0" fillId="18" borderId="17" xfId="0" applyFill="1" applyBorder="1" applyAlignment="1">
      <alignment/>
    </xf>
    <xf numFmtId="0" fontId="0" fillId="18" borderId="17" xfId="0" applyFill="1" applyBorder="1" applyAlignment="1">
      <alignment horizontal="center"/>
    </xf>
    <xf numFmtId="4" fontId="0" fillId="18" borderId="18" xfId="0" applyNumberFormat="1" applyFill="1" applyBorder="1" applyAlignment="1">
      <alignment horizontal="center"/>
    </xf>
    <xf numFmtId="0" fontId="1" fillId="41" borderId="23" xfId="0" applyFont="1" applyFill="1" applyBorder="1" applyAlignment="1">
      <alignment horizontal="left"/>
    </xf>
    <xf numFmtId="0" fontId="15" fillId="11" borderId="11" xfId="0" applyFont="1" applyFill="1" applyBorder="1" applyAlignment="1">
      <alignment horizontal="left" indent="1"/>
    </xf>
    <xf numFmtId="0" fontId="14" fillId="11" borderId="12" xfId="0" applyFont="1" applyFill="1" applyBorder="1" applyAlignment="1">
      <alignment/>
    </xf>
    <xf numFmtId="0" fontId="0" fillId="11" borderId="12" xfId="0" applyFill="1" applyBorder="1" applyAlignment="1">
      <alignment horizontal="center"/>
    </xf>
    <xf numFmtId="4" fontId="0" fillId="11" borderId="13" xfId="0" applyNumberFormat="1" applyFill="1" applyBorder="1" applyAlignment="1">
      <alignment horizontal="center"/>
    </xf>
    <xf numFmtId="0" fontId="15" fillId="11" borderId="14" xfId="0" applyFont="1" applyFill="1" applyBorder="1" applyAlignment="1">
      <alignment horizontal="left" indent="1"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1" fillId="11" borderId="0" xfId="0" applyFont="1" applyFill="1" applyBorder="1" applyAlignment="1">
      <alignment horizontal="left"/>
    </xf>
    <xf numFmtId="4" fontId="0" fillId="11" borderId="15" xfId="0" applyNumberFormat="1" applyFill="1" applyBorder="1" applyAlignment="1">
      <alignment horizontal="center"/>
    </xf>
    <xf numFmtId="0" fontId="1" fillId="11" borderId="0" xfId="0" applyFont="1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left" indent="1"/>
    </xf>
    <xf numFmtId="0" fontId="0" fillId="11" borderId="17" xfId="0" applyFill="1" applyBorder="1" applyAlignment="1">
      <alignment horizontal="center"/>
    </xf>
    <xf numFmtId="4" fontId="0" fillId="11" borderId="18" xfId="0" applyNumberFormat="1" applyFill="1" applyBorder="1" applyAlignment="1">
      <alignment horizontal="center"/>
    </xf>
    <xf numFmtId="0" fontId="15" fillId="10" borderId="11" xfId="0" applyFont="1" applyFill="1" applyBorder="1" applyAlignment="1">
      <alignment horizontal="left" indent="1"/>
    </xf>
    <xf numFmtId="0" fontId="14" fillId="10" borderId="12" xfId="0" applyFont="1" applyFill="1" applyBorder="1" applyAlignment="1">
      <alignment/>
    </xf>
    <xf numFmtId="0" fontId="0" fillId="10" borderId="12" xfId="0" applyFill="1" applyBorder="1" applyAlignment="1">
      <alignment horizontal="center"/>
    </xf>
    <xf numFmtId="4" fontId="0" fillId="10" borderId="13" xfId="0" applyNumberFormat="1" applyFill="1" applyBorder="1" applyAlignment="1">
      <alignment horizontal="center"/>
    </xf>
    <xf numFmtId="0" fontId="15" fillId="10" borderId="14" xfId="0" applyFont="1" applyFill="1" applyBorder="1" applyAlignment="1">
      <alignment horizontal="left" indent="1"/>
    </xf>
    <xf numFmtId="0" fontId="0" fillId="10" borderId="0" xfId="0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4" fontId="0" fillId="10" borderId="15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1" fillId="10" borderId="0" xfId="0" applyFont="1" applyFill="1" applyBorder="1" applyAlignment="1">
      <alignment/>
    </xf>
    <xf numFmtId="0" fontId="13" fillId="10" borderId="0" xfId="0" applyFont="1" applyFill="1" applyBorder="1" applyAlignment="1">
      <alignment horizontal="center"/>
    </xf>
    <xf numFmtId="0" fontId="15" fillId="10" borderId="16" xfId="0" applyFont="1" applyFill="1" applyBorder="1" applyAlignment="1">
      <alignment horizontal="left" indent="1"/>
    </xf>
    <xf numFmtId="0" fontId="0" fillId="10" borderId="17" xfId="0" applyFill="1" applyBorder="1" applyAlignment="1">
      <alignment horizontal="center"/>
    </xf>
    <xf numFmtId="4" fontId="0" fillId="10" borderId="18" xfId="0" applyNumberForma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32" borderId="22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 horizontal="center"/>
    </xf>
    <xf numFmtId="1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42" borderId="0" xfId="0" applyFill="1" applyAlignment="1">
      <alignment horizontal="center"/>
    </xf>
    <xf numFmtId="1" fontId="0" fillId="42" borderId="0" xfId="0" applyNumberFormat="1" applyFill="1" applyBorder="1" applyAlignment="1">
      <alignment horizontal="center"/>
    </xf>
    <xf numFmtId="0" fontId="13" fillId="39" borderId="24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53" fillId="43" borderId="0" xfId="0" applyFont="1" applyFill="1" applyBorder="1" applyAlignment="1">
      <alignment horizontal="center"/>
    </xf>
    <xf numFmtId="1" fontId="0" fillId="32" borderId="0" xfId="0" applyNumberFormat="1" applyFill="1" applyBorder="1" applyAlignment="1">
      <alignment horizontal="center"/>
    </xf>
    <xf numFmtId="0" fontId="0" fillId="32" borderId="25" xfId="0" applyFill="1" applyBorder="1" applyAlignment="1">
      <alignment horizontal="left"/>
    </xf>
    <xf numFmtId="0" fontId="0" fillId="32" borderId="26" xfId="0" applyFill="1" applyBorder="1" applyAlignment="1">
      <alignment horizontal="left"/>
    </xf>
    <xf numFmtId="0" fontId="0" fillId="32" borderId="27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95250</xdr:rowOff>
    </xdr:from>
    <xdr:to>
      <xdr:col>2</xdr:col>
      <xdr:colOff>1333500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0"/>
          <a:ext cx="1333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AI455"/>
  <sheetViews>
    <sheetView showGridLines="0" tabSelected="1" view="pageBreakPreview" zoomScale="75" zoomScaleNormal="83" zoomScaleSheetLayoutView="75" zoomScalePageLayoutView="0" workbookViewId="0" topLeftCell="A1">
      <selection activeCell="D8" sqref="D8:N8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40.421875" style="0" customWidth="1"/>
    <col min="4" max="4" width="7.28125" style="17" customWidth="1"/>
    <col min="5" max="5" width="14.7109375" style="17" customWidth="1"/>
    <col min="6" max="16" width="4.421875" style="17" customWidth="1"/>
    <col min="17" max="17" width="10.00390625" style="0" customWidth="1"/>
    <col min="18" max="18" width="11.28125" style="17" customWidth="1"/>
    <col min="19" max="21" width="9.7109375" style="0" customWidth="1"/>
    <col min="22" max="22" width="10.00390625" style="0" customWidth="1"/>
    <col min="23" max="23" width="3.140625" style="18" customWidth="1"/>
  </cols>
  <sheetData>
    <row r="1" ht="30" customHeight="1"/>
    <row r="2" spans="2:3" ht="14.25" customHeight="1">
      <c r="B2" s="19"/>
      <c r="C2" s="20"/>
    </row>
    <row r="3" ht="12.75" customHeight="1" thickBot="1">
      <c r="C3" s="20"/>
    </row>
    <row r="4" spans="2:23" ht="12.75" customHeight="1">
      <c r="B4" s="144"/>
      <c r="C4" s="145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148"/>
      <c r="P4" s="147"/>
      <c r="Q4" s="147"/>
      <c r="R4" s="147"/>
      <c r="S4" s="147"/>
      <c r="T4" s="147"/>
      <c r="U4" s="147"/>
      <c r="V4" s="149"/>
      <c r="W4" s="21"/>
    </row>
    <row r="5" spans="2:23" ht="17.25" customHeight="1">
      <c r="B5" s="150"/>
      <c r="C5" s="151" t="s">
        <v>118</v>
      </c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4"/>
      <c r="P5" s="153"/>
      <c r="Q5" s="153"/>
      <c r="R5" s="153"/>
      <c r="S5" s="155"/>
      <c r="T5" s="155"/>
      <c r="U5" s="155"/>
      <c r="V5" s="156"/>
      <c r="W5" s="21"/>
    </row>
    <row r="6" spans="2:23" ht="17.25" customHeight="1">
      <c r="B6" s="150"/>
      <c r="C6" s="157" t="s">
        <v>119</v>
      </c>
      <c r="D6" s="152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154"/>
      <c r="P6" s="153"/>
      <c r="Q6" s="153"/>
      <c r="R6" s="153"/>
      <c r="S6" s="153"/>
      <c r="T6" s="153"/>
      <c r="U6" s="153"/>
      <c r="V6" s="156"/>
      <c r="W6" s="21"/>
    </row>
    <row r="7" spans="2:23" ht="10.5" customHeight="1">
      <c r="B7" s="150"/>
      <c r="C7" s="158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54"/>
      <c r="P7" s="153"/>
      <c r="Q7" s="153"/>
      <c r="R7" s="153"/>
      <c r="S7" s="153"/>
      <c r="T7" s="153"/>
      <c r="U7" s="153"/>
      <c r="V7" s="156"/>
      <c r="W7" s="21"/>
    </row>
    <row r="8" spans="2:23" ht="14.25" customHeight="1">
      <c r="B8" s="150"/>
      <c r="C8" s="159" t="s">
        <v>120</v>
      </c>
      <c r="D8" s="236"/>
      <c r="E8" s="237"/>
      <c r="F8" s="237"/>
      <c r="G8" s="237"/>
      <c r="H8" s="237"/>
      <c r="I8" s="237"/>
      <c r="J8" s="237"/>
      <c r="K8" s="237"/>
      <c r="L8" s="237"/>
      <c r="M8" s="237"/>
      <c r="N8" s="238"/>
      <c r="O8" s="160"/>
      <c r="P8" s="160"/>
      <c r="Q8" s="161"/>
      <c r="R8" s="161" t="s">
        <v>283</v>
      </c>
      <c r="S8" s="161"/>
      <c r="T8" s="161"/>
      <c r="U8" s="161"/>
      <c r="V8" s="162"/>
      <c r="W8" s="21"/>
    </row>
    <row r="9" spans="2:23" ht="15">
      <c r="B9" s="163"/>
      <c r="C9" s="164" t="s">
        <v>121</v>
      </c>
      <c r="D9" s="236"/>
      <c r="E9" s="237"/>
      <c r="F9" s="237"/>
      <c r="G9" s="237"/>
      <c r="H9" s="237"/>
      <c r="I9" s="237"/>
      <c r="J9" s="237"/>
      <c r="K9" s="237"/>
      <c r="L9" s="237"/>
      <c r="M9" s="237"/>
      <c r="N9" s="238"/>
      <c r="O9" s="160"/>
      <c r="P9" s="160"/>
      <c r="Q9" s="160"/>
      <c r="R9" s="165" t="s">
        <v>291</v>
      </c>
      <c r="S9" s="161"/>
      <c r="T9" s="161"/>
      <c r="U9" s="161"/>
      <c r="V9" s="162"/>
      <c r="W9" s="22"/>
    </row>
    <row r="10" spans="2:23" ht="18">
      <c r="B10" s="163"/>
      <c r="C10" s="159" t="s">
        <v>122</v>
      </c>
      <c r="D10" s="166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68"/>
      <c r="P10" s="167"/>
      <c r="Q10" s="167"/>
      <c r="R10" s="167"/>
      <c r="S10" s="167"/>
      <c r="T10" s="167"/>
      <c r="U10" s="167"/>
      <c r="V10" s="169"/>
      <c r="W10" s="21"/>
    </row>
    <row r="11" spans="2:23" ht="14.25" customHeight="1">
      <c r="B11" s="163"/>
      <c r="C11" s="167" t="s">
        <v>123</v>
      </c>
      <c r="D11" s="166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168"/>
      <c r="P11" s="167"/>
      <c r="Q11" s="167"/>
      <c r="R11" s="167"/>
      <c r="S11" s="167"/>
      <c r="T11" s="167"/>
      <c r="U11" s="167"/>
      <c r="V11" s="169"/>
      <c r="W11" s="21"/>
    </row>
    <row r="12" spans="2:23" ht="14.25" customHeight="1">
      <c r="B12" s="163"/>
      <c r="C12" s="170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8"/>
      <c r="O12" s="168"/>
      <c r="P12" s="167"/>
      <c r="Q12" s="167"/>
      <c r="R12" s="167"/>
      <c r="S12" s="167"/>
      <c r="T12" s="167"/>
      <c r="U12" s="167"/>
      <c r="V12" s="169"/>
      <c r="W12" s="21"/>
    </row>
    <row r="13" spans="2:23" ht="13.5" thickBot="1">
      <c r="B13" s="171"/>
      <c r="C13" s="172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2"/>
      <c r="O13" s="172"/>
      <c r="P13" s="173"/>
      <c r="Q13" s="173"/>
      <c r="R13" s="173"/>
      <c r="S13" s="173"/>
      <c r="T13" s="173"/>
      <c r="U13" s="173"/>
      <c r="V13" s="174"/>
      <c r="W13" s="21"/>
    </row>
    <row r="14" spans="2:35" ht="13.5" thickBot="1">
      <c r="B14" s="23"/>
      <c r="C14" s="21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5"/>
      <c r="X14" s="21"/>
      <c r="Y14" s="26"/>
      <c r="Z14" s="21"/>
      <c r="AA14" s="21"/>
      <c r="AB14" s="21"/>
      <c r="AC14" s="21"/>
      <c r="AD14" s="21"/>
      <c r="AE14" s="27"/>
      <c r="AF14" s="21"/>
      <c r="AG14" s="21"/>
      <c r="AH14" s="25"/>
      <c r="AI14" s="21"/>
    </row>
    <row r="15" spans="2:34" ht="15.75" thickBot="1">
      <c r="B15" s="175"/>
      <c r="C15" s="176" t="s">
        <v>167</v>
      </c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8"/>
      <c r="W15" s="25"/>
      <c r="X15" s="21"/>
      <c r="Y15" s="21"/>
      <c r="Z15" s="24"/>
      <c r="AA15" s="24"/>
      <c r="AB15" s="28"/>
      <c r="AC15" s="28"/>
      <c r="AD15" s="29"/>
      <c r="AE15" s="30"/>
      <c r="AH15" s="30"/>
    </row>
    <row r="16" spans="2:34" ht="12.75">
      <c r="B16" s="179"/>
      <c r="C16" s="180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2"/>
      <c r="O16" s="182"/>
      <c r="P16" s="181"/>
      <c r="Q16" s="181"/>
      <c r="R16" s="181"/>
      <c r="S16" s="181"/>
      <c r="T16" s="181"/>
      <c r="U16" s="181"/>
      <c r="V16" s="183"/>
      <c r="W16" s="25"/>
      <c r="X16" s="21"/>
      <c r="Y16" s="21"/>
      <c r="Z16" s="24"/>
      <c r="AA16" s="24"/>
      <c r="AB16" s="28"/>
      <c r="AC16" s="28"/>
      <c r="AD16" s="29"/>
      <c r="AE16" s="30"/>
      <c r="AH16" s="30"/>
    </row>
    <row r="17" spans="2:34" ht="12.75">
      <c r="B17" s="179"/>
      <c r="C17" s="184" t="s">
        <v>161</v>
      </c>
      <c r="D17" s="181"/>
      <c r="E17" s="185" t="s">
        <v>274</v>
      </c>
      <c r="F17" s="185"/>
      <c r="G17" s="181"/>
      <c r="H17" s="181"/>
      <c r="I17" s="181"/>
      <c r="J17" s="181"/>
      <c r="K17" s="181"/>
      <c r="L17" s="181"/>
      <c r="M17" s="181"/>
      <c r="N17" s="185" t="s">
        <v>166</v>
      </c>
      <c r="O17" s="185"/>
      <c r="P17" s="181"/>
      <c r="Q17" s="181"/>
      <c r="R17" s="181"/>
      <c r="S17" s="185"/>
      <c r="T17" s="185"/>
      <c r="U17" s="185"/>
      <c r="V17" s="186"/>
      <c r="W17" s="25"/>
      <c r="X17" s="21"/>
      <c r="Z17" s="24"/>
      <c r="AA17" s="24"/>
      <c r="AB17" s="28"/>
      <c r="AC17" s="28"/>
      <c r="AD17" s="29"/>
      <c r="AE17" s="30"/>
      <c r="AH17" s="30"/>
    </row>
    <row r="18" spans="2:34" ht="12.75">
      <c r="B18" s="179"/>
      <c r="C18" s="139" t="s">
        <v>285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95"/>
      <c r="O18" s="195"/>
      <c r="P18" s="195"/>
      <c r="Q18" s="195"/>
      <c r="R18" s="195"/>
      <c r="S18" s="195"/>
      <c r="T18" s="195"/>
      <c r="U18" s="195"/>
      <c r="V18" s="183"/>
      <c r="W18" s="25"/>
      <c r="X18" s="21"/>
      <c r="Z18" s="24"/>
      <c r="AA18" s="24"/>
      <c r="AB18" s="28"/>
      <c r="AC18" s="28"/>
      <c r="AD18" s="29"/>
      <c r="AE18" s="30"/>
      <c r="AH18" s="30"/>
    </row>
    <row r="19" spans="2:34" ht="12.75">
      <c r="B19" s="179"/>
      <c r="C19" s="180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95"/>
      <c r="O19" s="195"/>
      <c r="P19" s="195"/>
      <c r="Q19" s="195"/>
      <c r="R19" s="195"/>
      <c r="S19" s="195"/>
      <c r="T19" s="195"/>
      <c r="U19" s="195"/>
      <c r="V19" s="183"/>
      <c r="W19" s="25"/>
      <c r="X19" s="21"/>
      <c r="Y19" s="21"/>
      <c r="Z19" s="24"/>
      <c r="AA19" s="24"/>
      <c r="AB19" s="28"/>
      <c r="AC19" s="28"/>
      <c r="AD19" s="29"/>
      <c r="AE19" s="30"/>
      <c r="AH19" s="30"/>
    </row>
    <row r="20" spans="2:34" ht="12.75">
      <c r="B20" s="179"/>
      <c r="C20" s="184" t="s">
        <v>162</v>
      </c>
      <c r="D20" s="181"/>
      <c r="E20" s="185" t="s">
        <v>272</v>
      </c>
      <c r="F20" s="185"/>
      <c r="G20" s="181"/>
      <c r="H20" s="181"/>
      <c r="I20" s="181"/>
      <c r="J20" s="181"/>
      <c r="K20" s="181"/>
      <c r="L20" s="181"/>
      <c r="M20" s="181"/>
      <c r="N20" s="195"/>
      <c r="O20" s="195"/>
      <c r="P20" s="195"/>
      <c r="Q20" s="195"/>
      <c r="R20" s="195"/>
      <c r="S20" s="195"/>
      <c r="T20" s="195"/>
      <c r="U20" s="195"/>
      <c r="V20" s="183"/>
      <c r="W20" s="25"/>
      <c r="X20" s="21"/>
      <c r="Y20" s="21"/>
      <c r="Z20" s="24"/>
      <c r="AA20" s="24"/>
      <c r="AB20" s="28"/>
      <c r="AC20" s="28"/>
      <c r="AD20" s="29"/>
      <c r="AE20" s="30"/>
      <c r="AH20" s="30"/>
    </row>
    <row r="21" spans="2:34" ht="12.75">
      <c r="B21" s="179"/>
      <c r="C21" s="143" t="str">
        <f>IF(C18=C155,C159,C158)</f>
        <v>Removable Powerpack</v>
      </c>
      <c r="D21" s="181"/>
      <c r="E21" s="185" t="s">
        <v>273</v>
      </c>
      <c r="F21" s="185"/>
      <c r="G21" s="181"/>
      <c r="H21" s="181"/>
      <c r="I21" s="181"/>
      <c r="J21" s="181"/>
      <c r="K21" s="181"/>
      <c r="L21" s="181"/>
      <c r="M21" s="181"/>
      <c r="N21" s="195"/>
      <c r="O21" s="195"/>
      <c r="P21" s="195"/>
      <c r="Q21" s="195"/>
      <c r="R21" s="195"/>
      <c r="S21" s="195"/>
      <c r="T21" s="195"/>
      <c r="U21" s="195"/>
      <c r="V21" s="183"/>
      <c r="W21" s="25"/>
      <c r="X21" s="21"/>
      <c r="Y21" s="21"/>
      <c r="Z21" s="24"/>
      <c r="AA21" s="24"/>
      <c r="AB21" s="28"/>
      <c r="AC21" s="28"/>
      <c r="AD21" s="29"/>
      <c r="AE21" s="30"/>
      <c r="AH21" s="30"/>
    </row>
    <row r="22" spans="2:34" ht="12.75">
      <c r="B22" s="179"/>
      <c r="C22" s="180"/>
      <c r="D22" s="181"/>
      <c r="E22" s="185"/>
      <c r="F22" s="185"/>
      <c r="G22" s="181"/>
      <c r="H22" s="181"/>
      <c r="I22" s="181"/>
      <c r="J22" s="181"/>
      <c r="K22" s="181"/>
      <c r="L22" s="181"/>
      <c r="M22" s="181"/>
      <c r="N22" s="195"/>
      <c r="O22" s="195"/>
      <c r="P22" s="195"/>
      <c r="Q22" s="195"/>
      <c r="R22" s="195"/>
      <c r="S22" s="195"/>
      <c r="T22" s="195"/>
      <c r="U22" s="195"/>
      <c r="V22" s="183"/>
      <c r="W22" s="25"/>
      <c r="X22" s="21"/>
      <c r="Y22" s="21"/>
      <c r="Z22" s="24"/>
      <c r="AA22" s="24"/>
      <c r="AB22" s="28"/>
      <c r="AC22" s="28"/>
      <c r="AD22" s="29"/>
      <c r="AE22" s="30"/>
      <c r="AH22" s="30"/>
    </row>
    <row r="23" spans="2:34" ht="12.75">
      <c r="B23" s="179"/>
      <c r="C23" s="184" t="s">
        <v>163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95"/>
      <c r="O23" s="195"/>
      <c r="P23" s="195"/>
      <c r="Q23" s="195"/>
      <c r="R23" s="195"/>
      <c r="S23" s="195"/>
      <c r="T23" s="195"/>
      <c r="U23" s="195"/>
      <c r="V23" s="183"/>
      <c r="W23" s="25"/>
      <c r="X23" s="21"/>
      <c r="Y23" s="21"/>
      <c r="Z23" s="24"/>
      <c r="AA23" s="24"/>
      <c r="AB23" s="28"/>
      <c r="AC23" s="28"/>
      <c r="AD23" s="29"/>
      <c r="AE23" s="30"/>
      <c r="AH23" s="30"/>
    </row>
    <row r="24" spans="2:34" ht="12.75">
      <c r="B24" s="179"/>
      <c r="C24" s="139" t="s">
        <v>133</v>
      </c>
      <c r="D24" s="187"/>
      <c r="E24" s="185" t="s">
        <v>261</v>
      </c>
      <c r="F24" s="185"/>
      <c r="G24" s="181"/>
      <c r="H24" s="181"/>
      <c r="I24" s="181"/>
      <c r="J24" s="181"/>
      <c r="K24" s="181"/>
      <c r="L24" s="181"/>
      <c r="M24" s="181"/>
      <c r="N24" s="195"/>
      <c r="O24" s="195"/>
      <c r="P24" s="195"/>
      <c r="Q24" s="195"/>
      <c r="R24" s="195"/>
      <c r="S24" s="195"/>
      <c r="T24" s="195"/>
      <c r="U24" s="195"/>
      <c r="V24" s="183"/>
      <c r="W24" s="25"/>
      <c r="X24" s="21"/>
      <c r="Y24" s="21"/>
      <c r="Z24" s="24"/>
      <c r="AA24" s="24"/>
      <c r="AB24" s="28"/>
      <c r="AC24" s="28"/>
      <c r="AD24" s="29"/>
      <c r="AE24" s="30"/>
      <c r="AH24" s="30"/>
    </row>
    <row r="25" spans="2:34" ht="12.75">
      <c r="B25" s="179"/>
      <c r="C25" s="180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95"/>
      <c r="O25" s="195"/>
      <c r="P25" s="195"/>
      <c r="Q25" s="195"/>
      <c r="R25" s="195"/>
      <c r="S25" s="195"/>
      <c r="T25" s="195"/>
      <c r="U25" s="195"/>
      <c r="V25" s="183"/>
      <c r="W25" s="25"/>
      <c r="X25" s="21"/>
      <c r="Y25" s="21"/>
      <c r="Z25" s="24"/>
      <c r="AA25" s="24"/>
      <c r="AB25" s="28"/>
      <c r="AC25" s="28"/>
      <c r="AD25" s="29"/>
      <c r="AE25" s="30"/>
      <c r="AH25" s="30"/>
    </row>
    <row r="26" spans="2:34" ht="12.75">
      <c r="B26" s="179"/>
      <c r="C26" s="184" t="s">
        <v>253</v>
      </c>
      <c r="D26" s="181"/>
      <c r="E26" s="188"/>
      <c r="F26" s="188"/>
      <c r="G26" s="188"/>
      <c r="H26" s="188"/>
      <c r="I26" s="188"/>
      <c r="J26" s="188"/>
      <c r="K26" s="181"/>
      <c r="L26" s="181"/>
      <c r="M26" s="181"/>
      <c r="N26" s="195"/>
      <c r="O26" s="195"/>
      <c r="P26" s="195"/>
      <c r="Q26" s="195"/>
      <c r="R26" s="195"/>
      <c r="S26" s="195"/>
      <c r="T26" s="195"/>
      <c r="U26" s="195"/>
      <c r="V26" s="183"/>
      <c r="W26" s="25"/>
      <c r="X26" s="21"/>
      <c r="Y26" s="21"/>
      <c r="Z26" s="24"/>
      <c r="AA26" s="24"/>
      <c r="AB26" s="28"/>
      <c r="AC26" s="28"/>
      <c r="AD26" s="29"/>
      <c r="AE26" s="30"/>
      <c r="AH26" s="30"/>
    </row>
    <row r="27" spans="2:34" ht="12.75">
      <c r="B27" s="179"/>
      <c r="C27" s="140">
        <v>600</v>
      </c>
      <c r="D27" s="187"/>
      <c r="E27" s="185" t="s">
        <v>262</v>
      </c>
      <c r="F27" s="185"/>
      <c r="G27" s="189"/>
      <c r="H27" s="189"/>
      <c r="I27" s="189"/>
      <c r="J27" s="189"/>
      <c r="K27" s="181"/>
      <c r="L27" s="181"/>
      <c r="M27" s="181"/>
      <c r="N27" s="195"/>
      <c r="O27" s="195"/>
      <c r="P27" s="195"/>
      <c r="Q27" s="195"/>
      <c r="R27" s="195"/>
      <c r="S27" s="195"/>
      <c r="T27" s="195"/>
      <c r="U27" s="195"/>
      <c r="V27" s="183"/>
      <c r="W27" s="25"/>
      <c r="X27" s="21"/>
      <c r="Y27" s="21"/>
      <c r="Z27" s="24"/>
      <c r="AA27" s="24"/>
      <c r="AB27" s="28"/>
      <c r="AC27" s="28"/>
      <c r="AD27" s="29"/>
      <c r="AE27" s="30"/>
      <c r="AH27" s="30"/>
    </row>
    <row r="28" spans="2:34" ht="12.75">
      <c r="B28" s="179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95"/>
      <c r="O28" s="195"/>
      <c r="P28" s="195"/>
      <c r="Q28" s="195"/>
      <c r="R28" s="195"/>
      <c r="S28" s="195"/>
      <c r="T28" s="195"/>
      <c r="U28" s="195"/>
      <c r="V28" s="183"/>
      <c r="W28" s="25"/>
      <c r="X28" s="21"/>
      <c r="Y28" s="21"/>
      <c r="Z28" s="24"/>
      <c r="AA28" s="24"/>
      <c r="AB28" s="28"/>
      <c r="AC28" s="28"/>
      <c r="AD28" s="29"/>
      <c r="AE28" s="30"/>
      <c r="AH28" s="30"/>
    </row>
    <row r="29" spans="2:34" ht="12.75">
      <c r="B29" s="179"/>
      <c r="C29" s="185" t="s">
        <v>254</v>
      </c>
      <c r="D29" s="181"/>
      <c r="E29" s="188"/>
      <c r="F29" s="188"/>
      <c r="G29" s="181"/>
      <c r="H29" s="181"/>
      <c r="I29" s="181"/>
      <c r="J29" s="181"/>
      <c r="K29" s="181"/>
      <c r="L29" s="181"/>
      <c r="M29" s="181"/>
      <c r="N29" s="195"/>
      <c r="O29" s="195"/>
      <c r="P29" s="195"/>
      <c r="Q29" s="195"/>
      <c r="R29" s="195"/>
      <c r="S29" s="195"/>
      <c r="T29" s="195"/>
      <c r="U29" s="195"/>
      <c r="V29" s="183"/>
      <c r="W29" s="25"/>
      <c r="X29" s="21"/>
      <c r="Y29" s="21"/>
      <c r="Z29" s="24"/>
      <c r="AA29" s="24"/>
      <c r="AB29" s="28"/>
      <c r="AC29" s="28"/>
      <c r="AD29" s="29"/>
      <c r="AE29" s="30"/>
      <c r="AH29" s="30"/>
    </row>
    <row r="30" spans="2:34" ht="12.75">
      <c r="B30" s="179"/>
      <c r="C30" s="141" t="s">
        <v>264</v>
      </c>
      <c r="D30" s="187"/>
      <c r="E30" s="185" t="s">
        <v>263</v>
      </c>
      <c r="F30" s="185"/>
      <c r="G30" s="181"/>
      <c r="H30" s="181"/>
      <c r="I30" s="181"/>
      <c r="J30" s="181"/>
      <c r="K30" s="181"/>
      <c r="L30" s="181"/>
      <c r="M30" s="181"/>
      <c r="N30" s="195"/>
      <c r="O30" s="195"/>
      <c r="P30" s="195"/>
      <c r="Q30" s="195"/>
      <c r="R30" s="195"/>
      <c r="S30" s="195"/>
      <c r="T30" s="195"/>
      <c r="U30" s="195"/>
      <c r="V30" s="183"/>
      <c r="W30" s="25"/>
      <c r="X30" s="21"/>
      <c r="Y30" s="21"/>
      <c r="Z30" s="24"/>
      <c r="AA30" s="24"/>
      <c r="AB30" s="28"/>
      <c r="AC30" s="28"/>
      <c r="AD30" s="29"/>
      <c r="AE30" s="30"/>
      <c r="AH30" s="30"/>
    </row>
    <row r="31" spans="2:34" ht="12.75">
      <c r="B31" s="179"/>
      <c r="C31" s="187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95"/>
      <c r="O31" s="195"/>
      <c r="P31" s="195"/>
      <c r="Q31" s="195"/>
      <c r="R31" s="195"/>
      <c r="S31" s="195"/>
      <c r="T31" s="195"/>
      <c r="U31" s="195"/>
      <c r="V31" s="183"/>
      <c r="W31" s="25"/>
      <c r="X31" s="21"/>
      <c r="Y31" s="21"/>
      <c r="Z31" s="24"/>
      <c r="AA31" s="24"/>
      <c r="AB31" s="28"/>
      <c r="AC31" s="28"/>
      <c r="AD31" s="29"/>
      <c r="AE31" s="30"/>
      <c r="AH31" s="30"/>
    </row>
    <row r="32" spans="2:34" ht="12.75">
      <c r="B32" s="179"/>
      <c r="C32" s="190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95"/>
      <c r="O32" s="195"/>
      <c r="P32" s="195"/>
      <c r="Q32" s="195"/>
      <c r="R32" s="195"/>
      <c r="S32" s="195"/>
      <c r="T32" s="195"/>
      <c r="U32" s="195"/>
      <c r="V32" s="183"/>
      <c r="W32" s="25"/>
      <c r="X32" s="21"/>
      <c r="Y32" s="21"/>
      <c r="Z32" s="24"/>
      <c r="AA32" s="24"/>
      <c r="AB32" s="28"/>
      <c r="AC32" s="28"/>
      <c r="AD32" s="29"/>
      <c r="AE32" s="30"/>
      <c r="AH32" s="30"/>
    </row>
    <row r="33" spans="2:34" ht="13.5" thickBot="1">
      <c r="B33" s="191"/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4"/>
      <c r="W33" s="25"/>
      <c r="X33" s="21"/>
      <c r="Y33" s="21"/>
      <c r="Z33" s="24"/>
      <c r="AA33" s="24"/>
      <c r="AB33" s="28"/>
      <c r="AC33" s="28"/>
      <c r="AD33" s="29"/>
      <c r="AE33" s="30"/>
      <c r="AH33" s="30"/>
    </row>
    <row r="34" spans="2:34" ht="13.5" thickBot="1">
      <c r="B34" s="31"/>
      <c r="C34" s="2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5"/>
      <c r="X34" s="21"/>
      <c r="Y34" s="21"/>
      <c r="Z34" s="24"/>
      <c r="AA34" s="24"/>
      <c r="AB34" s="28"/>
      <c r="AC34" s="28"/>
      <c r="AD34" s="29"/>
      <c r="AE34" s="30"/>
      <c r="AH34" s="30"/>
    </row>
    <row r="35" spans="2:34" ht="15.75" thickBot="1">
      <c r="B35" s="196"/>
      <c r="C35" s="197" t="s">
        <v>183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9"/>
      <c r="W35" s="25"/>
      <c r="X35" s="21"/>
      <c r="Y35" s="21"/>
      <c r="Z35" s="24"/>
      <c r="AA35" s="24"/>
      <c r="AB35" s="28"/>
      <c r="AC35" s="28"/>
      <c r="AD35" s="29"/>
      <c r="AE35" s="30"/>
      <c r="AH35" s="30"/>
    </row>
    <row r="36" spans="2:34" ht="12.75">
      <c r="B36" s="200"/>
      <c r="C36" s="201"/>
      <c r="D36" s="202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2"/>
      <c r="Q36" s="202"/>
      <c r="R36" s="202"/>
      <c r="S36" s="202"/>
      <c r="T36" s="202"/>
      <c r="U36" s="202"/>
      <c r="V36" s="204"/>
      <c r="W36" s="25"/>
      <c r="X36" s="21"/>
      <c r="Y36" s="21"/>
      <c r="Z36" s="24"/>
      <c r="AA36" s="24"/>
      <c r="AB36" s="28"/>
      <c r="AC36" s="28"/>
      <c r="AD36" s="29"/>
      <c r="AE36" s="30"/>
      <c r="AH36" s="30"/>
    </row>
    <row r="37" spans="2:34" ht="12.75">
      <c r="B37" s="200"/>
      <c r="C37" s="205" t="s">
        <v>173</v>
      </c>
      <c r="D37" s="202"/>
      <c r="E37" s="203"/>
      <c r="F37" s="203"/>
      <c r="G37" s="203"/>
      <c r="H37" s="203"/>
      <c r="I37" s="203"/>
      <c r="J37" s="203"/>
      <c r="K37" s="203"/>
      <c r="L37" s="203"/>
      <c r="M37" s="203"/>
      <c r="N37" s="203" t="s">
        <v>176</v>
      </c>
      <c r="O37" s="203"/>
      <c r="P37" s="202"/>
      <c r="Q37" s="203"/>
      <c r="R37" s="202"/>
      <c r="S37" s="203"/>
      <c r="T37" s="203"/>
      <c r="U37" s="203"/>
      <c r="V37" s="206"/>
      <c r="W37" s="25"/>
      <c r="X37" s="21"/>
      <c r="Y37" s="21"/>
      <c r="Z37" s="24"/>
      <c r="AA37" s="24"/>
      <c r="AB37" s="28"/>
      <c r="AC37" s="28"/>
      <c r="AD37" s="29"/>
      <c r="AE37" s="30"/>
      <c r="AH37" s="30"/>
    </row>
    <row r="38" spans="2:34" ht="12.75">
      <c r="B38" s="200"/>
      <c r="C38" s="139" t="s">
        <v>171</v>
      </c>
      <c r="D38" s="202"/>
      <c r="E38" s="203"/>
      <c r="F38" s="203"/>
      <c r="G38" s="203"/>
      <c r="H38" s="203"/>
      <c r="I38" s="203"/>
      <c r="J38" s="203"/>
      <c r="K38" s="203"/>
      <c r="L38" s="203"/>
      <c r="M38" s="203"/>
      <c r="N38" s="195"/>
      <c r="O38" s="195"/>
      <c r="P38" s="195"/>
      <c r="Q38" s="195"/>
      <c r="R38" s="195"/>
      <c r="S38" s="195"/>
      <c r="T38" s="195"/>
      <c r="U38" s="195"/>
      <c r="V38" s="206"/>
      <c r="W38" s="25"/>
      <c r="X38" s="21"/>
      <c r="Y38" s="21"/>
      <c r="Z38" s="24"/>
      <c r="AA38" s="24"/>
      <c r="AB38" s="28"/>
      <c r="AC38" s="28"/>
      <c r="AD38" s="29"/>
      <c r="AE38" s="30"/>
      <c r="AH38" s="30"/>
    </row>
    <row r="39" spans="2:34" ht="12.75">
      <c r="B39" s="200"/>
      <c r="C39" s="201"/>
      <c r="D39" s="202"/>
      <c r="E39" s="203"/>
      <c r="F39" s="203"/>
      <c r="G39" s="203"/>
      <c r="H39" s="203"/>
      <c r="I39" s="203"/>
      <c r="J39" s="203"/>
      <c r="K39" s="203"/>
      <c r="L39" s="203"/>
      <c r="M39" s="203"/>
      <c r="N39" s="195"/>
      <c r="O39" s="195"/>
      <c r="P39" s="195"/>
      <c r="Q39" s="195"/>
      <c r="R39" s="195"/>
      <c r="S39" s="195"/>
      <c r="T39" s="195"/>
      <c r="U39" s="195"/>
      <c r="V39" s="204"/>
      <c r="W39" s="25"/>
      <c r="X39" s="21"/>
      <c r="Y39" s="21"/>
      <c r="Z39" s="24"/>
      <c r="AA39" s="24"/>
      <c r="AB39" s="28"/>
      <c r="AC39" s="28"/>
      <c r="AD39" s="29"/>
      <c r="AE39" s="30"/>
      <c r="AH39" s="30"/>
    </row>
    <row r="40" spans="2:34" ht="12.75">
      <c r="B40" s="200"/>
      <c r="C40" s="203" t="s">
        <v>174</v>
      </c>
      <c r="D40" s="202"/>
      <c r="E40" s="203"/>
      <c r="F40" s="203"/>
      <c r="G40" s="203"/>
      <c r="H40" s="203"/>
      <c r="I40" s="203"/>
      <c r="J40" s="203"/>
      <c r="K40" s="203"/>
      <c r="L40" s="203"/>
      <c r="M40" s="203"/>
      <c r="N40" s="195"/>
      <c r="O40" s="195"/>
      <c r="P40" s="195"/>
      <c r="Q40" s="195"/>
      <c r="R40" s="195"/>
      <c r="S40" s="195"/>
      <c r="T40" s="195"/>
      <c r="U40" s="195"/>
      <c r="V40" s="204"/>
      <c r="W40" s="25"/>
      <c r="X40" s="21"/>
      <c r="Y40" s="21"/>
      <c r="Z40" s="24"/>
      <c r="AA40" s="24"/>
      <c r="AB40" s="28"/>
      <c r="AC40" s="28"/>
      <c r="AD40" s="29"/>
      <c r="AE40" s="30"/>
      <c r="AH40" s="30"/>
    </row>
    <row r="41" spans="2:34" ht="12.75">
      <c r="B41" s="200"/>
      <c r="C41" s="139" t="s">
        <v>170</v>
      </c>
      <c r="D41" s="202"/>
      <c r="E41" s="203"/>
      <c r="F41" s="203"/>
      <c r="G41" s="203"/>
      <c r="H41" s="203"/>
      <c r="I41" s="203"/>
      <c r="J41" s="203"/>
      <c r="K41" s="203"/>
      <c r="L41" s="203"/>
      <c r="M41" s="203"/>
      <c r="N41" s="195"/>
      <c r="O41" s="195"/>
      <c r="P41" s="195"/>
      <c r="Q41" s="195"/>
      <c r="R41" s="195"/>
      <c r="S41" s="195"/>
      <c r="T41" s="195"/>
      <c r="U41" s="195"/>
      <c r="V41" s="204"/>
      <c r="W41" s="25"/>
      <c r="X41" s="21"/>
      <c r="Y41" s="21"/>
      <c r="Z41" s="24"/>
      <c r="AA41" s="24"/>
      <c r="AB41" s="28"/>
      <c r="AC41" s="28"/>
      <c r="AD41" s="29"/>
      <c r="AE41" s="30"/>
      <c r="AH41" s="30"/>
    </row>
    <row r="42" spans="2:34" ht="12.75">
      <c r="B42" s="200"/>
      <c r="C42" s="201"/>
      <c r="D42" s="202"/>
      <c r="E42" s="203"/>
      <c r="F42" s="203"/>
      <c r="G42" s="203"/>
      <c r="H42" s="203"/>
      <c r="I42" s="203"/>
      <c r="J42" s="203"/>
      <c r="K42" s="203"/>
      <c r="L42" s="203"/>
      <c r="M42" s="203"/>
      <c r="N42" s="195"/>
      <c r="O42" s="195"/>
      <c r="P42" s="195"/>
      <c r="Q42" s="195"/>
      <c r="R42" s="195"/>
      <c r="S42" s="195"/>
      <c r="T42" s="195"/>
      <c r="U42" s="195"/>
      <c r="V42" s="204"/>
      <c r="W42" s="25"/>
      <c r="X42" s="21"/>
      <c r="Y42" s="21"/>
      <c r="Z42" s="24"/>
      <c r="AA42" s="24"/>
      <c r="AB42" s="28"/>
      <c r="AC42" s="28"/>
      <c r="AD42" s="29"/>
      <c r="AE42" s="30"/>
      <c r="AH42" s="30"/>
    </row>
    <row r="43" spans="2:34" ht="12.75">
      <c r="B43" s="200"/>
      <c r="C43" s="205" t="s">
        <v>175</v>
      </c>
      <c r="D43" s="202"/>
      <c r="E43" s="203"/>
      <c r="F43" s="203"/>
      <c r="G43" s="203"/>
      <c r="H43" s="203"/>
      <c r="I43" s="203"/>
      <c r="J43" s="203"/>
      <c r="K43" s="203"/>
      <c r="L43" s="203"/>
      <c r="M43" s="203"/>
      <c r="N43" s="195"/>
      <c r="O43" s="195"/>
      <c r="P43" s="195"/>
      <c r="Q43" s="195"/>
      <c r="R43" s="195"/>
      <c r="S43" s="195"/>
      <c r="T43" s="195"/>
      <c r="U43" s="195"/>
      <c r="V43" s="204"/>
      <c r="W43" s="25"/>
      <c r="X43" s="21"/>
      <c r="Y43" s="21"/>
      <c r="Z43" s="24"/>
      <c r="AA43" s="24"/>
      <c r="AB43" s="28"/>
      <c r="AC43" s="28"/>
      <c r="AD43" s="29"/>
      <c r="AE43" s="30"/>
      <c r="AH43" s="30"/>
    </row>
    <row r="44" spans="2:34" ht="12.75">
      <c r="B44" s="200"/>
      <c r="C44" s="140" t="s">
        <v>177</v>
      </c>
      <c r="D44" s="202"/>
      <c r="E44" s="203"/>
      <c r="F44" s="203"/>
      <c r="G44" s="203"/>
      <c r="H44" s="203"/>
      <c r="I44" s="203"/>
      <c r="J44" s="203"/>
      <c r="K44" s="203"/>
      <c r="L44" s="203"/>
      <c r="M44" s="203"/>
      <c r="N44" s="195"/>
      <c r="O44" s="195"/>
      <c r="P44" s="195"/>
      <c r="Q44" s="195"/>
      <c r="R44" s="195"/>
      <c r="S44" s="195"/>
      <c r="T44" s="195"/>
      <c r="U44" s="195"/>
      <c r="V44" s="204"/>
      <c r="W44" s="25"/>
      <c r="X44" s="21"/>
      <c r="Y44" s="21"/>
      <c r="Z44" s="24"/>
      <c r="AA44" s="24"/>
      <c r="AB44" s="28"/>
      <c r="AC44" s="28"/>
      <c r="AD44" s="29"/>
      <c r="AE44" s="30"/>
      <c r="AH44" s="30"/>
    </row>
    <row r="45" spans="2:34" ht="12.75">
      <c r="B45" s="200"/>
      <c r="C45" s="201"/>
      <c r="D45" s="202"/>
      <c r="E45" s="203"/>
      <c r="F45" s="203"/>
      <c r="G45" s="203"/>
      <c r="H45" s="203"/>
      <c r="I45" s="203"/>
      <c r="J45" s="203"/>
      <c r="K45" s="203"/>
      <c r="L45" s="203"/>
      <c r="M45" s="203"/>
      <c r="N45" s="195"/>
      <c r="O45" s="195"/>
      <c r="P45" s="195"/>
      <c r="Q45" s="195"/>
      <c r="R45" s="195"/>
      <c r="S45" s="195"/>
      <c r="T45" s="195"/>
      <c r="U45" s="195"/>
      <c r="V45" s="204"/>
      <c r="W45" s="25"/>
      <c r="X45" s="21"/>
      <c r="Y45" s="21"/>
      <c r="Z45" s="24"/>
      <c r="AA45" s="24"/>
      <c r="AB45" s="28"/>
      <c r="AC45" s="28"/>
      <c r="AD45" s="29"/>
      <c r="AE45" s="30"/>
      <c r="AH45" s="30"/>
    </row>
    <row r="46" spans="2:34" ht="12.75">
      <c r="B46" s="200"/>
      <c r="C46" s="203" t="s">
        <v>164</v>
      </c>
      <c r="D46" s="202"/>
      <c r="E46" s="203"/>
      <c r="F46" s="203"/>
      <c r="G46" s="203"/>
      <c r="H46" s="203"/>
      <c r="I46" s="203"/>
      <c r="J46" s="203"/>
      <c r="K46" s="203"/>
      <c r="L46" s="203"/>
      <c r="M46" s="203"/>
      <c r="N46" s="195"/>
      <c r="O46" s="195"/>
      <c r="P46" s="195"/>
      <c r="Q46" s="195"/>
      <c r="R46" s="195"/>
      <c r="S46" s="195"/>
      <c r="T46" s="195"/>
      <c r="U46" s="195"/>
      <c r="V46" s="204"/>
      <c r="W46" s="25"/>
      <c r="X46" s="21"/>
      <c r="Y46" s="21"/>
      <c r="Z46" s="24"/>
      <c r="AA46" s="24"/>
      <c r="AB46" s="28"/>
      <c r="AC46" s="28"/>
      <c r="AD46" s="29"/>
      <c r="AE46" s="30"/>
      <c r="AH46" s="30"/>
    </row>
    <row r="47" spans="2:34" ht="12.75">
      <c r="B47" s="200"/>
      <c r="C47" s="142" t="s">
        <v>136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195"/>
      <c r="O47" s="195"/>
      <c r="P47" s="195"/>
      <c r="Q47" s="195"/>
      <c r="R47" s="195"/>
      <c r="S47" s="195"/>
      <c r="T47" s="195"/>
      <c r="U47" s="195"/>
      <c r="V47" s="204"/>
      <c r="W47" s="25"/>
      <c r="X47" s="21"/>
      <c r="Y47" s="21"/>
      <c r="Z47" s="24"/>
      <c r="AA47" s="24"/>
      <c r="AB47" s="28"/>
      <c r="AC47" s="28"/>
      <c r="AD47" s="29"/>
      <c r="AE47" s="30"/>
      <c r="AH47" s="30"/>
    </row>
    <row r="48" spans="2:34" ht="12.75">
      <c r="B48" s="200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95"/>
      <c r="O48" s="195"/>
      <c r="P48" s="195"/>
      <c r="Q48" s="195"/>
      <c r="R48" s="195"/>
      <c r="S48" s="195"/>
      <c r="T48" s="195"/>
      <c r="U48" s="195"/>
      <c r="V48" s="204"/>
      <c r="W48" s="25"/>
      <c r="X48" s="21"/>
      <c r="Y48" s="21"/>
      <c r="Z48" s="24"/>
      <c r="AA48" s="24"/>
      <c r="AB48" s="28"/>
      <c r="AC48" s="28"/>
      <c r="AD48" s="29"/>
      <c r="AE48" s="30"/>
      <c r="AH48" s="30"/>
    </row>
    <row r="49" spans="2:34" ht="12.75">
      <c r="B49" s="200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195"/>
      <c r="O49" s="195"/>
      <c r="P49" s="195"/>
      <c r="Q49" s="195"/>
      <c r="R49" s="195"/>
      <c r="S49" s="195"/>
      <c r="T49" s="195"/>
      <c r="U49" s="195"/>
      <c r="V49" s="204"/>
      <c r="W49" s="25"/>
      <c r="X49" s="21"/>
      <c r="Y49" s="21"/>
      <c r="Z49" s="24"/>
      <c r="AA49" s="24"/>
      <c r="AB49" s="28"/>
      <c r="AC49" s="28"/>
      <c r="AD49" s="29"/>
      <c r="AE49" s="30"/>
      <c r="AH49" s="30"/>
    </row>
    <row r="50" spans="2:34" ht="12.75">
      <c r="B50" s="200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195"/>
      <c r="O50" s="195"/>
      <c r="P50" s="195"/>
      <c r="Q50" s="195"/>
      <c r="R50" s="195"/>
      <c r="S50" s="195"/>
      <c r="T50" s="195"/>
      <c r="U50" s="195"/>
      <c r="V50" s="204"/>
      <c r="W50" s="25"/>
      <c r="X50" s="21"/>
      <c r="Y50" s="21"/>
      <c r="Z50" s="24"/>
      <c r="AA50" s="24"/>
      <c r="AB50" s="28"/>
      <c r="AC50" s="28"/>
      <c r="AD50" s="29"/>
      <c r="AE50" s="30"/>
      <c r="AH50" s="30"/>
    </row>
    <row r="51" spans="2:34" ht="13.5" thickBot="1">
      <c r="B51" s="207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9"/>
      <c r="W51" s="25"/>
      <c r="X51" s="21"/>
      <c r="Y51" s="21"/>
      <c r="Z51" s="24"/>
      <c r="AA51" s="24"/>
      <c r="AB51" s="28"/>
      <c r="AC51" s="28"/>
      <c r="AD51" s="29"/>
      <c r="AE51" s="30"/>
      <c r="AH51" s="30"/>
    </row>
    <row r="52" spans="2:34" ht="13.5" thickBot="1"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25"/>
      <c r="X52" s="21"/>
      <c r="Y52" s="21"/>
      <c r="Z52" s="24"/>
      <c r="AA52" s="24"/>
      <c r="AB52" s="28"/>
      <c r="AC52" s="28"/>
      <c r="AD52" s="29"/>
      <c r="AE52" s="30"/>
      <c r="AH52" s="30"/>
    </row>
    <row r="53" spans="2:34" ht="15.75" thickBot="1">
      <c r="B53" s="45"/>
      <c r="C53" s="46" t="s">
        <v>182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25"/>
      <c r="X53" s="21"/>
      <c r="Y53" s="21"/>
      <c r="Z53" s="24"/>
      <c r="AA53" s="24"/>
      <c r="AB53" s="28"/>
      <c r="AC53" s="28"/>
      <c r="AD53" s="29"/>
      <c r="AE53" s="30"/>
      <c r="AH53" s="30"/>
    </row>
    <row r="54" spans="2:34" ht="12.75">
      <c r="B54" s="49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2"/>
      <c r="W54" s="25"/>
      <c r="X54" s="21"/>
      <c r="Y54" s="21"/>
      <c r="Z54" s="24"/>
      <c r="AA54" s="24"/>
      <c r="AB54" s="28"/>
      <c r="AC54" s="28"/>
      <c r="AD54" s="29"/>
      <c r="AE54" s="30"/>
      <c r="AH54" s="30"/>
    </row>
    <row r="55" spans="2:34" ht="12.75">
      <c r="B55" s="49"/>
      <c r="C55" s="53" t="s">
        <v>184</v>
      </c>
      <c r="D55" s="51"/>
      <c r="E55" s="54" t="s">
        <v>188</v>
      </c>
      <c r="F55" s="54"/>
      <c r="G55" s="51"/>
      <c r="H55" s="51"/>
      <c r="I55" s="51"/>
      <c r="J55" s="51"/>
      <c r="K55" s="51"/>
      <c r="L55" s="51"/>
      <c r="M55" s="51"/>
      <c r="N55" s="104"/>
      <c r="O55" s="104"/>
      <c r="P55" s="51"/>
      <c r="Q55" s="54"/>
      <c r="R55" s="54" t="s">
        <v>189</v>
      </c>
      <c r="S55" s="54"/>
      <c r="T55" s="54"/>
      <c r="U55" s="54"/>
      <c r="V55" s="55"/>
      <c r="W55" s="25"/>
      <c r="X55" s="21"/>
      <c r="Y55" s="21"/>
      <c r="Z55" s="24"/>
      <c r="AA55" s="24"/>
      <c r="AB55" s="28"/>
      <c r="AC55" s="28"/>
      <c r="AD55" s="29"/>
      <c r="AE55" s="30"/>
      <c r="AH55" s="30"/>
    </row>
    <row r="56" spans="2:34" ht="12.75">
      <c r="B56" s="49"/>
      <c r="C56" s="139" t="s">
        <v>178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4"/>
      <c r="O56" s="54"/>
      <c r="P56" s="54"/>
      <c r="Q56" s="54"/>
      <c r="R56" s="195"/>
      <c r="S56" s="195"/>
      <c r="T56" s="195"/>
      <c r="U56" s="195"/>
      <c r="V56" s="52"/>
      <c r="W56" s="25"/>
      <c r="X56" s="21"/>
      <c r="Y56" s="21"/>
      <c r="Z56" s="24"/>
      <c r="AA56" s="24"/>
      <c r="AB56" s="28"/>
      <c r="AC56" s="28"/>
      <c r="AD56" s="29"/>
      <c r="AE56" s="30"/>
      <c r="AH56" s="30"/>
    </row>
    <row r="57" spans="2:34" ht="12.75">
      <c r="B57" s="49"/>
      <c r="C57" s="50"/>
      <c r="D57" s="51"/>
      <c r="E57" s="233" t="s">
        <v>195</v>
      </c>
      <c r="F57" s="233"/>
      <c r="G57" s="233"/>
      <c r="H57" s="233"/>
      <c r="I57" s="233"/>
      <c r="J57" s="233"/>
      <c r="K57" s="54" t="s">
        <v>197</v>
      </c>
      <c r="L57" s="54"/>
      <c r="M57" s="54"/>
      <c r="N57" s="54"/>
      <c r="O57" s="54"/>
      <c r="P57" s="54"/>
      <c r="Q57" s="54"/>
      <c r="R57" s="195"/>
      <c r="S57" s="195"/>
      <c r="T57" s="195"/>
      <c r="U57" s="195"/>
      <c r="V57" s="52"/>
      <c r="W57" s="25"/>
      <c r="X57" s="21"/>
      <c r="Y57" s="21"/>
      <c r="Z57" s="24"/>
      <c r="AA57" s="24"/>
      <c r="AB57" s="28"/>
      <c r="AC57" s="28"/>
      <c r="AD57" s="29"/>
      <c r="AE57" s="30"/>
      <c r="AH57" s="30"/>
    </row>
    <row r="58" spans="2:34" ht="12.75">
      <c r="B58" s="49"/>
      <c r="C58" s="53" t="s">
        <v>185</v>
      </c>
      <c r="D58" s="51"/>
      <c r="E58" s="108"/>
      <c r="F58" s="108"/>
      <c r="G58" s="108"/>
      <c r="H58" s="108"/>
      <c r="I58" s="51"/>
      <c r="J58" s="51"/>
      <c r="K58" s="51"/>
      <c r="L58" s="54"/>
      <c r="M58" s="54"/>
      <c r="N58" s="54"/>
      <c r="O58" s="54"/>
      <c r="P58" s="54"/>
      <c r="Q58" s="54"/>
      <c r="R58" s="195"/>
      <c r="S58" s="195"/>
      <c r="T58" s="195"/>
      <c r="U58" s="195"/>
      <c r="V58" s="52"/>
      <c r="W58" s="25"/>
      <c r="X58" s="21"/>
      <c r="Y58" s="21"/>
      <c r="Z58" s="24"/>
      <c r="AA58" s="24"/>
      <c r="AB58" s="28"/>
      <c r="AC58" s="28"/>
      <c r="AD58" s="29"/>
      <c r="AE58" s="30"/>
      <c r="AH58" s="30"/>
    </row>
    <row r="59" spans="2:34" ht="12.75">
      <c r="B59" s="49"/>
      <c r="C59" s="143" t="s">
        <v>177</v>
      </c>
      <c r="D59" s="51"/>
      <c r="E59" s="233" t="s">
        <v>195</v>
      </c>
      <c r="F59" s="233"/>
      <c r="G59" s="233"/>
      <c r="H59" s="233"/>
      <c r="I59" s="233"/>
      <c r="J59" s="233"/>
      <c r="K59" s="54" t="s">
        <v>198</v>
      </c>
      <c r="L59" s="54"/>
      <c r="M59" s="54"/>
      <c r="N59" s="54"/>
      <c r="O59" s="54"/>
      <c r="P59" s="54"/>
      <c r="Q59" s="54"/>
      <c r="R59" s="195"/>
      <c r="S59" s="195"/>
      <c r="T59" s="195"/>
      <c r="U59" s="195"/>
      <c r="V59" s="52"/>
      <c r="W59" s="25"/>
      <c r="X59" s="21"/>
      <c r="Y59" s="21"/>
      <c r="Z59" s="24"/>
      <c r="AA59" s="24"/>
      <c r="AB59" s="28"/>
      <c r="AC59" s="28"/>
      <c r="AD59" s="29"/>
      <c r="AE59" s="30"/>
      <c r="AH59" s="30"/>
    </row>
    <row r="60" spans="2:34" ht="12.75">
      <c r="B60" s="49"/>
      <c r="C60" s="50"/>
      <c r="D60" s="51"/>
      <c r="E60" s="108"/>
      <c r="F60" s="108"/>
      <c r="G60" s="108"/>
      <c r="H60" s="108"/>
      <c r="I60" s="51"/>
      <c r="J60" s="51"/>
      <c r="K60" s="51"/>
      <c r="L60" s="54"/>
      <c r="M60" s="54"/>
      <c r="N60" s="54"/>
      <c r="O60" s="54"/>
      <c r="P60" s="54"/>
      <c r="Q60" s="54"/>
      <c r="R60" s="195"/>
      <c r="S60" s="195"/>
      <c r="T60" s="195"/>
      <c r="U60" s="195"/>
      <c r="V60" s="52"/>
      <c r="W60" s="25"/>
      <c r="X60" s="21"/>
      <c r="Y60" s="21"/>
      <c r="Z60" s="24"/>
      <c r="AA60" s="24"/>
      <c r="AB60" s="28"/>
      <c r="AC60" s="28"/>
      <c r="AD60" s="29"/>
      <c r="AE60" s="30"/>
      <c r="AH60" s="30"/>
    </row>
    <row r="61" spans="2:34" ht="12.75">
      <c r="B61" s="49"/>
      <c r="C61" s="53" t="s">
        <v>186</v>
      </c>
      <c r="D61" s="51"/>
      <c r="E61" s="233" t="s">
        <v>195</v>
      </c>
      <c r="F61" s="233"/>
      <c r="G61" s="233"/>
      <c r="H61" s="233"/>
      <c r="I61" s="233"/>
      <c r="J61" s="233"/>
      <c r="K61" s="54" t="s">
        <v>199</v>
      </c>
      <c r="L61" s="54"/>
      <c r="M61" s="54"/>
      <c r="N61" s="54"/>
      <c r="O61" s="54"/>
      <c r="P61" s="54"/>
      <c r="Q61" s="54"/>
      <c r="R61" s="195"/>
      <c r="S61" s="195"/>
      <c r="T61" s="195"/>
      <c r="U61" s="195"/>
      <c r="V61" s="52"/>
      <c r="W61" s="25"/>
      <c r="X61" s="21"/>
      <c r="Y61" s="21"/>
      <c r="Z61" s="24"/>
      <c r="AA61" s="24"/>
      <c r="AB61" s="28"/>
      <c r="AC61" s="28"/>
      <c r="AD61" s="29"/>
      <c r="AE61" s="30"/>
      <c r="AH61" s="30"/>
    </row>
    <row r="62" spans="2:34" ht="12.75">
      <c r="B62" s="49"/>
      <c r="C62" s="139" t="s">
        <v>140</v>
      </c>
      <c r="D62" s="51"/>
      <c r="E62" s="108"/>
      <c r="F62" s="108"/>
      <c r="G62" s="108"/>
      <c r="H62" s="108"/>
      <c r="I62" s="51"/>
      <c r="J62" s="51"/>
      <c r="K62" s="51"/>
      <c r="L62" s="54"/>
      <c r="M62" s="54"/>
      <c r="N62" s="54"/>
      <c r="O62" s="54"/>
      <c r="P62" s="54"/>
      <c r="Q62" s="54"/>
      <c r="R62" s="195"/>
      <c r="S62" s="195"/>
      <c r="T62" s="195"/>
      <c r="U62" s="195"/>
      <c r="V62" s="52"/>
      <c r="W62" s="25"/>
      <c r="X62" s="21"/>
      <c r="Y62" s="21"/>
      <c r="Z62" s="24"/>
      <c r="AA62" s="24"/>
      <c r="AB62" s="28"/>
      <c r="AC62" s="28"/>
      <c r="AD62" s="29"/>
      <c r="AE62" s="30"/>
      <c r="AH62" s="30"/>
    </row>
    <row r="63" spans="2:34" ht="12.75">
      <c r="B63" s="49"/>
      <c r="C63" s="50"/>
      <c r="D63" s="51"/>
      <c r="E63" s="54" t="s">
        <v>200</v>
      </c>
      <c r="F63" s="54"/>
      <c r="G63" s="108"/>
      <c r="H63" s="108"/>
      <c r="I63" s="51"/>
      <c r="J63" s="51"/>
      <c r="K63" s="51"/>
      <c r="L63" s="54"/>
      <c r="M63" s="54"/>
      <c r="N63" s="54"/>
      <c r="O63" s="54"/>
      <c r="P63" s="54"/>
      <c r="Q63" s="54"/>
      <c r="R63" s="195"/>
      <c r="S63" s="195"/>
      <c r="T63" s="195"/>
      <c r="U63" s="195"/>
      <c r="V63" s="52"/>
      <c r="W63" s="25"/>
      <c r="X63" s="21"/>
      <c r="Y63" s="21"/>
      <c r="Z63" s="24"/>
      <c r="AA63" s="24"/>
      <c r="AB63" s="28"/>
      <c r="AC63" s="28"/>
      <c r="AD63" s="29"/>
      <c r="AE63" s="30"/>
      <c r="AH63" s="30"/>
    </row>
    <row r="64" spans="2:34" ht="12.75">
      <c r="B64" s="49"/>
      <c r="C64" s="54" t="s">
        <v>192</v>
      </c>
      <c r="D64" s="51"/>
      <c r="E64" s="108"/>
      <c r="F64" s="108"/>
      <c r="G64" s="108"/>
      <c r="H64" s="108"/>
      <c r="I64" s="51"/>
      <c r="J64" s="51"/>
      <c r="K64" s="51"/>
      <c r="L64" s="54"/>
      <c r="M64" s="54"/>
      <c r="N64" s="54"/>
      <c r="O64" s="54"/>
      <c r="P64" s="54"/>
      <c r="Q64" s="54"/>
      <c r="R64" s="195"/>
      <c r="S64" s="195"/>
      <c r="T64" s="195"/>
      <c r="U64" s="195"/>
      <c r="V64" s="52"/>
      <c r="W64" s="25"/>
      <c r="X64" s="21"/>
      <c r="Y64" s="21"/>
      <c r="Z64" s="24"/>
      <c r="AA64" s="24"/>
      <c r="AB64" s="28"/>
      <c r="AC64" s="28"/>
      <c r="AD64" s="29"/>
      <c r="AE64" s="30"/>
      <c r="AH64" s="30"/>
    </row>
    <row r="65" spans="2:34" ht="12.75">
      <c r="B65" s="49"/>
      <c r="C65" s="142" t="s">
        <v>177</v>
      </c>
      <c r="D65" s="51"/>
      <c r="E65" s="233" t="s">
        <v>195</v>
      </c>
      <c r="F65" s="233"/>
      <c r="G65" s="233"/>
      <c r="H65" s="233"/>
      <c r="I65" s="233"/>
      <c r="J65" s="233"/>
      <c r="K65" s="54" t="s">
        <v>201</v>
      </c>
      <c r="L65" s="54"/>
      <c r="M65" s="54"/>
      <c r="N65" s="54"/>
      <c r="O65" s="54"/>
      <c r="P65" s="54"/>
      <c r="Q65" s="54"/>
      <c r="R65" s="195"/>
      <c r="S65" s="195"/>
      <c r="T65" s="195"/>
      <c r="U65" s="195"/>
      <c r="V65" s="52"/>
      <c r="W65" s="25"/>
      <c r="X65" s="21"/>
      <c r="Y65" s="21"/>
      <c r="Z65" s="24"/>
      <c r="AA65" s="24"/>
      <c r="AB65" s="28"/>
      <c r="AC65" s="28"/>
      <c r="AD65" s="29"/>
      <c r="AE65" s="30"/>
      <c r="AH65" s="30"/>
    </row>
    <row r="66" spans="2:34" ht="12.75">
      <c r="B66" s="49"/>
      <c r="C66" s="51"/>
      <c r="D66" s="51"/>
      <c r="E66" s="108"/>
      <c r="F66" s="108"/>
      <c r="G66" s="108"/>
      <c r="H66" s="108"/>
      <c r="I66" s="51"/>
      <c r="J66" s="51"/>
      <c r="K66" s="51"/>
      <c r="L66" s="54"/>
      <c r="M66" s="54"/>
      <c r="N66" s="54"/>
      <c r="O66" s="54"/>
      <c r="P66" s="54"/>
      <c r="Q66" s="54"/>
      <c r="R66" s="195"/>
      <c r="S66" s="195"/>
      <c r="T66" s="195"/>
      <c r="U66" s="195"/>
      <c r="V66" s="52"/>
      <c r="W66" s="25"/>
      <c r="X66" s="21"/>
      <c r="Y66" s="21"/>
      <c r="Z66" s="24"/>
      <c r="AA66" s="24"/>
      <c r="AB66" s="28"/>
      <c r="AC66" s="28"/>
      <c r="AD66" s="29"/>
      <c r="AE66" s="30"/>
      <c r="AH66" s="30"/>
    </row>
    <row r="67" spans="2:34" ht="12.75">
      <c r="B67" s="49"/>
      <c r="C67" s="54" t="s">
        <v>187</v>
      </c>
      <c r="D67" s="51"/>
      <c r="E67" s="233" t="s">
        <v>195</v>
      </c>
      <c r="F67" s="233"/>
      <c r="G67" s="233"/>
      <c r="H67" s="233"/>
      <c r="I67" s="233"/>
      <c r="J67" s="233"/>
      <c r="K67" s="54" t="s">
        <v>202</v>
      </c>
      <c r="L67" s="54"/>
      <c r="M67" s="54"/>
      <c r="N67" s="54"/>
      <c r="O67" s="54"/>
      <c r="P67" s="54"/>
      <c r="Q67" s="54"/>
      <c r="R67" s="195"/>
      <c r="S67" s="195"/>
      <c r="T67" s="195"/>
      <c r="U67" s="195"/>
      <c r="V67" s="52"/>
      <c r="W67" s="25"/>
      <c r="X67" s="21"/>
      <c r="Y67" s="21"/>
      <c r="Z67" s="24"/>
      <c r="AA67" s="24"/>
      <c r="AB67" s="28"/>
      <c r="AC67" s="28"/>
      <c r="AD67" s="29"/>
      <c r="AE67" s="30"/>
      <c r="AH67" s="30"/>
    </row>
    <row r="68" spans="2:34" ht="12.75">
      <c r="B68" s="49"/>
      <c r="C68" s="142" t="s">
        <v>177</v>
      </c>
      <c r="D68" s="51"/>
      <c r="E68" s="108"/>
      <c r="F68" s="108"/>
      <c r="G68" s="108"/>
      <c r="H68" s="108"/>
      <c r="I68" s="51"/>
      <c r="J68" s="51"/>
      <c r="K68" s="51"/>
      <c r="L68" s="54"/>
      <c r="M68" s="54"/>
      <c r="N68" s="54"/>
      <c r="O68" s="54"/>
      <c r="P68" s="54"/>
      <c r="Q68" s="54"/>
      <c r="R68" s="195"/>
      <c r="S68" s="195"/>
      <c r="T68" s="195"/>
      <c r="U68" s="195"/>
      <c r="V68" s="52"/>
      <c r="W68" s="25"/>
      <c r="X68" s="21"/>
      <c r="Y68" s="21"/>
      <c r="Z68" s="24"/>
      <c r="AA68" s="24"/>
      <c r="AB68" s="28"/>
      <c r="AC68" s="28"/>
      <c r="AD68" s="29"/>
      <c r="AE68" s="30"/>
      <c r="AH68" s="30"/>
    </row>
    <row r="69" spans="2:34" ht="12.75">
      <c r="B69" s="49"/>
      <c r="C69" s="51"/>
      <c r="D69" s="51"/>
      <c r="E69" s="233" t="s">
        <v>195</v>
      </c>
      <c r="F69" s="233"/>
      <c r="G69" s="233"/>
      <c r="H69" s="233"/>
      <c r="I69" s="233"/>
      <c r="J69" s="233"/>
      <c r="K69" s="54" t="s">
        <v>203</v>
      </c>
      <c r="L69" s="54"/>
      <c r="M69" s="54"/>
      <c r="N69" s="54"/>
      <c r="O69" s="54"/>
      <c r="P69" s="54"/>
      <c r="Q69" s="54"/>
      <c r="R69" s="195"/>
      <c r="S69" s="195"/>
      <c r="T69" s="195"/>
      <c r="U69" s="195"/>
      <c r="V69" s="52"/>
      <c r="W69" s="25"/>
      <c r="X69" s="21"/>
      <c r="Y69" s="21"/>
      <c r="Z69" s="24"/>
      <c r="AA69" s="24"/>
      <c r="AB69" s="28"/>
      <c r="AC69" s="28"/>
      <c r="AD69" s="29"/>
      <c r="AE69" s="30"/>
      <c r="AH69" s="30"/>
    </row>
    <row r="70" spans="2:34" ht="12.75">
      <c r="B70" s="49"/>
      <c r="C70" s="54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4"/>
      <c r="O70" s="54"/>
      <c r="P70" s="54"/>
      <c r="Q70" s="54"/>
      <c r="R70" s="195"/>
      <c r="S70" s="195"/>
      <c r="T70" s="195"/>
      <c r="U70" s="195"/>
      <c r="V70" s="52"/>
      <c r="W70" s="25"/>
      <c r="X70" s="21"/>
      <c r="Y70" s="21"/>
      <c r="Z70" s="24"/>
      <c r="AA70" s="24"/>
      <c r="AB70" s="28"/>
      <c r="AC70" s="28"/>
      <c r="AD70" s="29"/>
      <c r="AE70" s="30"/>
      <c r="AH70" s="30"/>
    </row>
    <row r="71" spans="2:34" ht="12.75">
      <c r="B71" s="49"/>
      <c r="C71" s="54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4"/>
      <c r="O71" s="54"/>
      <c r="P71" s="54"/>
      <c r="Q71" s="54"/>
      <c r="R71" s="195"/>
      <c r="S71" s="195"/>
      <c r="T71" s="195"/>
      <c r="U71" s="195"/>
      <c r="V71" s="52"/>
      <c r="W71" s="25"/>
      <c r="X71" s="21"/>
      <c r="Y71" s="21"/>
      <c r="Z71" s="24"/>
      <c r="AA71" s="24"/>
      <c r="AB71" s="28"/>
      <c r="AC71" s="28"/>
      <c r="AD71" s="29"/>
      <c r="AE71" s="30"/>
      <c r="AH71" s="30"/>
    </row>
    <row r="72" spans="2:34" ht="13.5" thickBot="1">
      <c r="B72" s="56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9"/>
      <c r="W72" s="25"/>
      <c r="X72" s="21"/>
      <c r="Y72" s="21"/>
      <c r="Z72" s="24"/>
      <c r="AA72" s="24"/>
      <c r="AB72" s="28"/>
      <c r="AC72" s="28"/>
      <c r="AD72" s="29"/>
      <c r="AE72" s="30"/>
      <c r="AH72" s="30"/>
    </row>
    <row r="73" spans="2:34" ht="13.5" thickBot="1">
      <c r="B73" s="31"/>
      <c r="C73" s="2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5"/>
      <c r="W73" s="25"/>
      <c r="X73" s="21"/>
      <c r="Y73" s="21"/>
      <c r="Z73" s="24"/>
      <c r="AA73" s="24"/>
      <c r="AB73" s="28"/>
      <c r="AC73" s="28"/>
      <c r="AD73" s="29"/>
      <c r="AE73" s="30"/>
      <c r="AH73" s="30"/>
    </row>
    <row r="74" spans="2:34" ht="15.75" thickBot="1">
      <c r="B74" s="32"/>
      <c r="C74" s="33" t="s">
        <v>243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W74" s="25"/>
      <c r="X74" s="21"/>
      <c r="Y74" s="21"/>
      <c r="Z74" s="24"/>
      <c r="AA74" s="24"/>
      <c r="AB74" s="28"/>
      <c r="AC74" s="28"/>
      <c r="AD74" s="29"/>
      <c r="AE74" s="30"/>
      <c r="AH74" s="30"/>
    </row>
    <row r="75" spans="2:34" ht="12.75">
      <c r="B75" s="110"/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4"/>
      <c r="W75" s="25"/>
      <c r="X75" s="21"/>
      <c r="Y75" s="21"/>
      <c r="Z75" s="24"/>
      <c r="AA75" s="24"/>
      <c r="AB75" s="28"/>
      <c r="AC75" s="28"/>
      <c r="AD75" s="29"/>
      <c r="AE75" s="30"/>
      <c r="AH75" s="30"/>
    </row>
    <row r="76" spans="2:34" ht="12.75">
      <c r="B76" s="36"/>
      <c r="C76" s="40"/>
      <c r="D76" s="37"/>
      <c r="E76" s="113"/>
      <c r="F76" s="113"/>
      <c r="G76" s="232" t="s">
        <v>248</v>
      </c>
      <c r="H76" s="232"/>
      <c r="I76" s="232"/>
      <c r="J76" s="232"/>
      <c r="K76" s="232"/>
      <c r="L76" s="232"/>
      <c r="M76" s="232"/>
      <c r="N76" s="232"/>
      <c r="O76" s="232"/>
      <c r="P76" s="232"/>
      <c r="Q76" s="115"/>
      <c r="R76" s="115"/>
      <c r="S76" s="40"/>
      <c r="T76" s="40"/>
      <c r="U76" s="40"/>
      <c r="V76" s="41"/>
      <c r="W76" s="25"/>
      <c r="X76" s="21"/>
      <c r="Y76" s="21"/>
      <c r="Z76" s="24"/>
      <c r="AA76" s="24"/>
      <c r="AB76" s="28"/>
      <c r="AC76" s="28"/>
      <c r="AD76" s="29"/>
      <c r="AE76" s="30"/>
      <c r="AH76" s="30"/>
    </row>
    <row r="77" spans="2:34" ht="12.75">
      <c r="B77" s="36"/>
      <c r="C77" s="40"/>
      <c r="D77" s="37"/>
      <c r="E77" s="124" t="s">
        <v>247</v>
      </c>
      <c r="F77" s="127">
        <v>2.5</v>
      </c>
      <c r="G77" s="127">
        <v>4</v>
      </c>
      <c r="H77" s="127">
        <v>5</v>
      </c>
      <c r="I77" s="129">
        <v>7.5</v>
      </c>
      <c r="J77" s="127">
        <v>10</v>
      </c>
      <c r="K77" s="127">
        <v>15</v>
      </c>
      <c r="L77" s="127">
        <v>20</v>
      </c>
      <c r="M77" s="127">
        <v>25</v>
      </c>
      <c r="N77" s="127">
        <v>30</v>
      </c>
      <c r="O77" s="127">
        <v>50</v>
      </c>
      <c r="P77" s="127">
        <v>70</v>
      </c>
      <c r="Q77" s="40"/>
      <c r="R77" s="116" t="s">
        <v>258</v>
      </c>
      <c r="S77" s="40">
        <f>$C$27</f>
        <v>600</v>
      </c>
      <c r="T77" s="40"/>
      <c r="U77" s="40"/>
      <c r="V77" s="38"/>
      <c r="W77" s="25"/>
      <c r="X77" s="21"/>
      <c r="Y77" s="21"/>
      <c r="Z77" s="24"/>
      <c r="AA77" s="24"/>
      <c r="AB77" s="28"/>
      <c r="AC77" s="28"/>
      <c r="AD77" s="29"/>
      <c r="AE77" s="30"/>
      <c r="AH77" s="30"/>
    </row>
    <row r="78" spans="2:34" ht="12.75">
      <c r="B78" s="36"/>
      <c r="C78" s="39" t="s">
        <v>244</v>
      </c>
      <c r="D78" s="40"/>
      <c r="E78" s="125" t="s">
        <v>245</v>
      </c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40"/>
      <c r="R78" s="116" t="s">
        <v>259</v>
      </c>
      <c r="S78" s="40">
        <f>IF($C$30=$C$174,480,IF($C$30=$C$175,480,600))</f>
        <v>480</v>
      </c>
      <c r="T78" s="40"/>
      <c r="U78" s="40"/>
      <c r="V78" s="38"/>
      <c r="W78" s="25"/>
      <c r="X78" s="21"/>
      <c r="Y78" s="21"/>
      <c r="Z78" s="24"/>
      <c r="AA78" s="24"/>
      <c r="AB78" s="28"/>
      <c r="AC78" s="28"/>
      <c r="AD78" s="29"/>
      <c r="AE78" s="30"/>
      <c r="AH78" s="30"/>
    </row>
    <row r="79" spans="2:34" ht="12.75">
      <c r="B79" s="119"/>
      <c r="C79" s="139"/>
      <c r="D79" s="40"/>
      <c r="E79" s="125" t="s">
        <v>246</v>
      </c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40"/>
      <c r="R79" s="116" t="s">
        <v>260</v>
      </c>
      <c r="S79" s="113" t="str">
        <f>IF($C$30=$C$174,"Delta",IF($C$27=$C$175,"Wye","Wye"))</f>
        <v>Delta</v>
      </c>
      <c r="T79" s="113"/>
      <c r="U79" s="113"/>
      <c r="V79" s="38"/>
      <c r="W79" s="25"/>
      <c r="X79" s="21"/>
      <c r="Y79" s="21"/>
      <c r="Z79" s="24"/>
      <c r="AA79" s="24"/>
      <c r="AB79" s="28"/>
      <c r="AC79" s="28"/>
      <c r="AD79" s="29"/>
      <c r="AE79" s="30"/>
      <c r="AH79" s="30"/>
    </row>
    <row r="80" spans="2:34" ht="12.75">
      <c r="B80" s="119"/>
      <c r="C80" s="40"/>
      <c r="D80" s="40"/>
      <c r="E80" s="126" t="s">
        <v>256</v>
      </c>
      <c r="F80" s="128">
        <f>SUM(F78:F79)</f>
        <v>0</v>
      </c>
      <c r="G80" s="128">
        <f aca="true" t="shared" si="0" ref="G80:P80">SUM(G78:G79)</f>
        <v>0</v>
      </c>
      <c r="H80" s="128">
        <f>SUM(H78:H79)</f>
        <v>0</v>
      </c>
      <c r="I80" s="128">
        <f t="shared" si="0"/>
        <v>0</v>
      </c>
      <c r="J80" s="128">
        <f t="shared" si="0"/>
        <v>0</v>
      </c>
      <c r="K80" s="128">
        <f t="shared" si="0"/>
        <v>0</v>
      </c>
      <c r="L80" s="128">
        <f t="shared" si="0"/>
        <v>0</v>
      </c>
      <c r="M80" s="128">
        <f>SUM(M78:M79)</f>
        <v>0</v>
      </c>
      <c r="N80" s="128">
        <f t="shared" si="0"/>
        <v>0</v>
      </c>
      <c r="O80" s="128">
        <f t="shared" si="0"/>
        <v>0</v>
      </c>
      <c r="P80" s="128">
        <f t="shared" si="0"/>
        <v>0</v>
      </c>
      <c r="Q80" s="40"/>
      <c r="R80" s="116" t="s">
        <v>265</v>
      </c>
      <c r="S80" s="122">
        <f>IF(AND(S77=600,S79="Delta"),'600A Delta sht2'!$C$13,IF(AND(S77=800,S79="Delta"),'800A Delta sht2'!$C$13,'600A Wye sht2'!$C$13))</f>
        <v>1039.2304845413264</v>
      </c>
      <c r="T80" s="40"/>
      <c r="U80" s="40"/>
      <c r="V80" s="38"/>
      <c r="W80" s="25"/>
      <c r="X80" s="21"/>
      <c r="Y80" s="21"/>
      <c r="Z80" s="24"/>
      <c r="AA80" s="24"/>
      <c r="AB80" s="28"/>
      <c r="AC80" s="28"/>
      <c r="AD80" s="29"/>
      <c r="AE80" s="30"/>
      <c r="AH80" s="30"/>
    </row>
    <row r="81" spans="2:34" ht="12.75">
      <c r="B81" s="119"/>
      <c r="C81" s="40"/>
      <c r="D81" s="40"/>
      <c r="E81" s="126" t="s">
        <v>266</v>
      </c>
      <c r="F81" s="128">
        <f>IF($S$79="Delta",'600A Delta sht2'!$H$74,'600A Wye sht2'!$H$74)</f>
        <v>11.831275720164609</v>
      </c>
      <c r="G81" s="128">
        <f>IF($S$79="Delta",'600A Delta sht2'!$H$74,'600A Wye sht2'!$H$74)</f>
        <v>11.831275720164609</v>
      </c>
      <c r="H81" s="128">
        <f>IF($S$79="Delta",'600A Delta sht2'!$H$72,'600A Wye sht2'!$H$72)</f>
        <v>22.183641975308642</v>
      </c>
      <c r="I81" s="128">
        <f>IF($S$79="Delta",'600A Delta sht2'!$H$72,'600A Wye sht2'!$H$72)</f>
        <v>22.183641975308642</v>
      </c>
      <c r="J81" s="128">
        <f>IF($S$79="Delta",'600A Delta sht2'!$H$71,'600A Wye sht2'!$H$71)</f>
        <v>29.578189300411523</v>
      </c>
      <c r="K81" s="128">
        <f>IF($S$79="Delta",'600A Delta sht2'!$H$70,'600A Wye sht2'!$H$70)</f>
        <v>42.03216374269006</v>
      </c>
      <c r="L81" s="128">
        <f>IF($S$79="Delta",'600A Delta sht2'!$H$69,'600A Wye sht2'!$H$69)</f>
        <v>56.04288499025341</v>
      </c>
      <c r="M81" s="128">
        <f>IF($S$79="Delta",'600A Delta sht2'!$H$67,'600A Wye sht2'!$H$67)</f>
        <v>82.23684210526316</v>
      </c>
      <c r="N81" s="128">
        <f>IF($S$79="Delta",'600A Delta sht2'!$H$67,'600A Wye sht2'!$H$67)</f>
        <v>82.23684210526316</v>
      </c>
      <c r="O81" s="128">
        <f>IF($S$79="Delta",'600A Delta sht2'!$H$76,'600A Wye sht2'!$H$76)</f>
        <v>135.58762497641953</v>
      </c>
      <c r="P81" s="128">
        <f>IF($S$79="Delta",'600A Delta sht2'!$H$77,'600A Wye sht2'!$H$77)</f>
        <v>187.80328480776413</v>
      </c>
      <c r="Q81" s="115" t="s">
        <v>40</v>
      </c>
      <c r="R81" s="115" t="s">
        <v>257</v>
      </c>
      <c r="S81" s="40"/>
      <c r="T81" s="40"/>
      <c r="U81" s="40"/>
      <c r="V81" s="38"/>
      <c r="W81" s="25"/>
      <c r="X81" s="21"/>
      <c r="Y81" s="21"/>
      <c r="Z81" s="24"/>
      <c r="AA81" s="24"/>
      <c r="AB81" s="28"/>
      <c r="AC81" s="28"/>
      <c r="AD81" s="29"/>
      <c r="AE81" s="30"/>
      <c r="AH81" s="30"/>
    </row>
    <row r="82" spans="2:34" ht="12.75">
      <c r="B82" s="119"/>
      <c r="C82" s="40"/>
      <c r="D82" s="40"/>
      <c r="E82" s="126" t="s">
        <v>255</v>
      </c>
      <c r="F82" s="128">
        <f>F81*F80</f>
        <v>0</v>
      </c>
      <c r="G82" s="128">
        <f aca="true" t="shared" si="1" ref="G82:P82">G81*G80</f>
        <v>0</v>
      </c>
      <c r="H82" s="128">
        <f>H81*H80</f>
        <v>0</v>
      </c>
      <c r="I82" s="128">
        <f t="shared" si="1"/>
        <v>0</v>
      </c>
      <c r="J82" s="128">
        <f t="shared" si="1"/>
        <v>0</v>
      </c>
      <c r="K82" s="128">
        <f t="shared" si="1"/>
        <v>0</v>
      </c>
      <c r="L82" s="128">
        <f t="shared" si="1"/>
        <v>0</v>
      </c>
      <c r="M82" s="128">
        <f>M81*M80</f>
        <v>0</v>
      </c>
      <c r="N82" s="128">
        <f t="shared" si="1"/>
        <v>0</v>
      </c>
      <c r="O82" s="128">
        <f t="shared" si="1"/>
        <v>0</v>
      </c>
      <c r="P82" s="128">
        <f t="shared" si="1"/>
        <v>0</v>
      </c>
      <c r="Q82" s="117">
        <f>SUM(G82:P82)</f>
        <v>0</v>
      </c>
      <c r="R82" s="109">
        <f>Q82/S80</f>
        <v>0</v>
      </c>
      <c r="S82" s="105" t="s">
        <v>267</v>
      </c>
      <c r="T82" s="105"/>
      <c r="U82" s="105"/>
      <c r="V82" s="38"/>
      <c r="W82" s="25"/>
      <c r="X82" s="21"/>
      <c r="Y82" s="21"/>
      <c r="Z82" s="24"/>
      <c r="AA82" s="24"/>
      <c r="AB82" s="28"/>
      <c r="AC82" s="28"/>
      <c r="AD82" s="29"/>
      <c r="AE82" s="30"/>
      <c r="AH82" s="30"/>
    </row>
    <row r="83" spans="2:34" ht="12.75">
      <c r="B83" s="11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7"/>
      <c r="S83" s="40"/>
      <c r="T83" s="40"/>
      <c r="U83" s="40"/>
      <c r="V83" s="38"/>
      <c r="W83" s="25"/>
      <c r="X83" s="21"/>
      <c r="Y83" s="21"/>
      <c r="Z83" s="24"/>
      <c r="AA83" s="24"/>
      <c r="AB83" s="28"/>
      <c r="AC83" s="28"/>
      <c r="AD83" s="29"/>
      <c r="AE83" s="30"/>
      <c r="AH83" s="30"/>
    </row>
    <row r="84" spans="2:34" ht="12.75">
      <c r="B84" s="119"/>
      <c r="C84" s="40"/>
      <c r="D84" s="37"/>
      <c r="E84" s="113"/>
      <c r="F84" s="113"/>
      <c r="G84" s="232" t="s">
        <v>248</v>
      </c>
      <c r="H84" s="232"/>
      <c r="I84" s="232"/>
      <c r="J84" s="232"/>
      <c r="K84" s="232"/>
      <c r="L84" s="232"/>
      <c r="M84" s="232"/>
      <c r="N84" s="232"/>
      <c r="O84" s="232"/>
      <c r="P84" s="232"/>
      <c r="Q84" s="115"/>
      <c r="R84" s="115"/>
      <c r="S84" s="40"/>
      <c r="T84" s="40"/>
      <c r="U84" s="40"/>
      <c r="V84" s="38"/>
      <c r="W84" s="25"/>
      <c r="X84" s="21"/>
      <c r="Y84" s="21"/>
      <c r="Z84" s="24"/>
      <c r="AA84" s="24"/>
      <c r="AB84" s="28"/>
      <c r="AC84" s="28"/>
      <c r="AD84" s="29"/>
      <c r="AE84" s="30"/>
      <c r="AH84" s="30"/>
    </row>
    <row r="85" spans="2:34" ht="12.75">
      <c r="B85" s="119"/>
      <c r="C85" s="40"/>
      <c r="D85" s="37"/>
      <c r="E85" s="124" t="s">
        <v>247</v>
      </c>
      <c r="F85" s="127">
        <v>2.5</v>
      </c>
      <c r="G85" s="127">
        <v>4</v>
      </c>
      <c r="H85" s="127">
        <v>5</v>
      </c>
      <c r="I85" s="129">
        <v>7.5</v>
      </c>
      <c r="J85" s="127">
        <v>10</v>
      </c>
      <c r="K85" s="127">
        <v>15</v>
      </c>
      <c r="L85" s="127">
        <v>20</v>
      </c>
      <c r="M85" s="127">
        <v>25</v>
      </c>
      <c r="N85" s="127">
        <v>30</v>
      </c>
      <c r="O85" s="127">
        <v>50</v>
      </c>
      <c r="P85" s="127">
        <v>70</v>
      </c>
      <c r="Q85" s="40"/>
      <c r="R85" s="116" t="s">
        <v>258</v>
      </c>
      <c r="S85" s="40">
        <f>$C$27</f>
        <v>600</v>
      </c>
      <c r="T85" s="40"/>
      <c r="U85" s="40"/>
      <c r="V85" s="38"/>
      <c r="W85" s="25"/>
      <c r="X85" s="21"/>
      <c r="Y85" s="21"/>
      <c r="Z85" s="24"/>
      <c r="AA85" s="24"/>
      <c r="AB85" s="28"/>
      <c r="AC85" s="28"/>
      <c r="AD85" s="29"/>
      <c r="AE85" s="30"/>
      <c r="AH85" s="30"/>
    </row>
    <row r="86" spans="2:34" ht="12.75">
      <c r="B86" s="119"/>
      <c r="C86" s="39" t="s">
        <v>268</v>
      </c>
      <c r="D86" s="40"/>
      <c r="E86" s="125" t="s">
        <v>245</v>
      </c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40"/>
      <c r="R86" s="116" t="s">
        <v>259</v>
      </c>
      <c r="S86" s="40">
        <f>IF($C$30=$C$174,480,IF($C$30=$C$175,480,600))</f>
        <v>480</v>
      </c>
      <c r="T86" s="40"/>
      <c r="U86" s="40"/>
      <c r="V86" s="38"/>
      <c r="W86" s="25"/>
      <c r="X86" s="21"/>
      <c r="Y86" s="21"/>
      <c r="Z86" s="24"/>
      <c r="AA86" s="24"/>
      <c r="AB86" s="28"/>
      <c r="AC86" s="28"/>
      <c r="AD86" s="29"/>
      <c r="AE86" s="30"/>
      <c r="AH86" s="30"/>
    </row>
    <row r="87" spans="2:34" ht="12.75">
      <c r="B87" s="119"/>
      <c r="C87" s="139"/>
      <c r="D87" s="40"/>
      <c r="E87" s="125" t="s">
        <v>246</v>
      </c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40"/>
      <c r="R87" s="116" t="s">
        <v>260</v>
      </c>
      <c r="S87" s="113" t="str">
        <f>IF($C$30=$C$174,"Delta",IF($C$27=$C$175,"Wye","Wye"))</f>
        <v>Delta</v>
      </c>
      <c r="T87" s="113"/>
      <c r="U87" s="113"/>
      <c r="V87" s="38"/>
      <c r="W87" s="25"/>
      <c r="X87" s="21"/>
      <c r="Y87" s="21"/>
      <c r="Z87" s="24"/>
      <c r="AA87" s="24"/>
      <c r="AB87" s="28"/>
      <c r="AC87" s="28"/>
      <c r="AD87" s="29"/>
      <c r="AE87" s="30"/>
      <c r="AH87" s="30"/>
    </row>
    <row r="88" spans="2:34" ht="12.75">
      <c r="B88" s="119"/>
      <c r="C88" s="40"/>
      <c r="D88" s="40"/>
      <c r="E88" s="126" t="s">
        <v>256</v>
      </c>
      <c r="F88" s="128">
        <f>SUM(F86:F87)</f>
        <v>0</v>
      </c>
      <c r="G88" s="128">
        <f aca="true" t="shared" si="2" ref="G88:P88">SUM(G86:G87)</f>
        <v>0</v>
      </c>
      <c r="H88" s="128">
        <f>SUM(H86:H87)</f>
        <v>0</v>
      </c>
      <c r="I88" s="128">
        <f t="shared" si="2"/>
        <v>0</v>
      </c>
      <c r="J88" s="128">
        <f t="shared" si="2"/>
        <v>0</v>
      </c>
      <c r="K88" s="128">
        <f t="shared" si="2"/>
        <v>0</v>
      </c>
      <c r="L88" s="128">
        <f t="shared" si="2"/>
        <v>0</v>
      </c>
      <c r="M88" s="128">
        <f>SUM(M86:M87)</f>
        <v>0</v>
      </c>
      <c r="N88" s="128">
        <f t="shared" si="2"/>
        <v>0</v>
      </c>
      <c r="O88" s="128">
        <f t="shared" si="2"/>
        <v>0</v>
      </c>
      <c r="P88" s="128">
        <f t="shared" si="2"/>
        <v>0</v>
      </c>
      <c r="Q88" s="40"/>
      <c r="R88" s="116" t="s">
        <v>265</v>
      </c>
      <c r="S88" s="122">
        <f>IF(AND(S85=600,S87="Delta"),'600A Delta sht2'!$C$13,IF(AND(S85=800,S87="Delta"),'800A Delta sht2'!$C$13,'600A Wye sht2'!$C$13))</f>
        <v>1039.2304845413264</v>
      </c>
      <c r="T88" s="40"/>
      <c r="U88" s="40"/>
      <c r="V88" s="38"/>
      <c r="W88" s="25"/>
      <c r="X88" s="21"/>
      <c r="Y88" s="21"/>
      <c r="Z88" s="24"/>
      <c r="AA88" s="24"/>
      <c r="AB88" s="28"/>
      <c r="AC88" s="28"/>
      <c r="AD88" s="29"/>
      <c r="AE88" s="30"/>
      <c r="AH88" s="30"/>
    </row>
    <row r="89" spans="2:34" ht="12.75">
      <c r="B89" s="119"/>
      <c r="C89" s="40"/>
      <c r="D89" s="40"/>
      <c r="E89" s="126" t="s">
        <v>266</v>
      </c>
      <c r="F89" s="128">
        <f>IF($S$79="Delta",'600A Delta sht2'!$H$74,'600A Wye sht2'!$H$74)</f>
        <v>11.831275720164609</v>
      </c>
      <c r="G89" s="128">
        <f>IF($S$79="Delta",'600A Delta sht2'!$H$74,'600A Wye sht2'!$H$74)</f>
        <v>11.831275720164609</v>
      </c>
      <c r="H89" s="128">
        <f>IF($S$79="Delta",'600A Delta sht2'!$H$72,'600A Wye sht2'!$H$72)</f>
        <v>22.183641975308642</v>
      </c>
      <c r="I89" s="128">
        <f>IF($S$79="Delta",'600A Delta sht2'!$H$72,'600A Wye sht2'!$H$72)</f>
        <v>22.183641975308642</v>
      </c>
      <c r="J89" s="128">
        <f>IF($S$79="Delta",'600A Delta sht2'!$H$71,'600A Wye sht2'!$H$71)</f>
        <v>29.578189300411523</v>
      </c>
      <c r="K89" s="128">
        <f>IF($S$79="Delta",'600A Delta sht2'!$H$70,'600A Wye sht2'!$H$70)</f>
        <v>42.03216374269006</v>
      </c>
      <c r="L89" s="128">
        <f>IF($S$79="Delta",'600A Delta sht2'!$H$69,'600A Wye sht2'!$H$69)</f>
        <v>56.04288499025341</v>
      </c>
      <c r="M89" s="128">
        <f>IF($S$79="Delta",'600A Delta sht2'!$H$67,'600A Wye sht2'!$H$67)</f>
        <v>82.23684210526316</v>
      </c>
      <c r="N89" s="128">
        <f>IF($S$79="Delta",'600A Delta sht2'!$H$67,'600A Wye sht2'!$H$67)</f>
        <v>82.23684210526316</v>
      </c>
      <c r="O89" s="128">
        <f>IF($S$79="Delta",'600A Delta sht2'!$H$76,'600A Wye sht2'!$H$76)</f>
        <v>135.58762497641953</v>
      </c>
      <c r="P89" s="128">
        <f>IF($S$79="Delta",'600A Delta sht2'!$H$77,'600A Wye sht2'!$H$77)</f>
        <v>187.80328480776413</v>
      </c>
      <c r="Q89" s="115" t="s">
        <v>40</v>
      </c>
      <c r="R89" s="115" t="s">
        <v>257</v>
      </c>
      <c r="S89" s="40"/>
      <c r="T89" s="40"/>
      <c r="U89" s="40"/>
      <c r="V89" s="38"/>
      <c r="W89" s="25"/>
      <c r="X89" s="21"/>
      <c r="Y89" s="21"/>
      <c r="Z89" s="24"/>
      <c r="AA89" s="24"/>
      <c r="AB89" s="28"/>
      <c r="AC89" s="28"/>
      <c r="AD89" s="29"/>
      <c r="AE89" s="30"/>
      <c r="AH89" s="30"/>
    </row>
    <row r="90" spans="2:34" ht="12.75">
      <c r="B90" s="119"/>
      <c r="C90" s="40"/>
      <c r="D90" s="40"/>
      <c r="E90" s="126" t="s">
        <v>255</v>
      </c>
      <c r="F90" s="128">
        <f>F89*F88</f>
        <v>0</v>
      </c>
      <c r="G90" s="128">
        <f aca="true" t="shared" si="3" ref="G90:P90">G89*G88</f>
        <v>0</v>
      </c>
      <c r="H90" s="128">
        <f>H89*H88</f>
        <v>0</v>
      </c>
      <c r="I90" s="128">
        <f t="shared" si="3"/>
        <v>0</v>
      </c>
      <c r="J90" s="128">
        <f t="shared" si="3"/>
        <v>0</v>
      </c>
      <c r="K90" s="128">
        <f t="shared" si="3"/>
        <v>0</v>
      </c>
      <c r="L90" s="128">
        <f t="shared" si="3"/>
        <v>0</v>
      </c>
      <c r="M90" s="128">
        <f>M89*M88</f>
        <v>0</v>
      </c>
      <c r="N90" s="128">
        <f t="shared" si="3"/>
        <v>0</v>
      </c>
      <c r="O90" s="128">
        <f t="shared" si="3"/>
        <v>0</v>
      </c>
      <c r="P90" s="128">
        <f t="shared" si="3"/>
        <v>0</v>
      </c>
      <c r="Q90" s="117">
        <f>SUM(G90:P90)</f>
        <v>0</v>
      </c>
      <c r="R90" s="109">
        <f>Q90/S88</f>
        <v>0</v>
      </c>
      <c r="S90" s="105" t="s">
        <v>267</v>
      </c>
      <c r="T90" s="105"/>
      <c r="U90" s="105"/>
      <c r="V90" s="38"/>
      <c r="W90" s="25"/>
      <c r="X90" s="21"/>
      <c r="Y90" s="21"/>
      <c r="Z90" s="24"/>
      <c r="AA90" s="24"/>
      <c r="AB90" s="28"/>
      <c r="AC90" s="28"/>
      <c r="AD90" s="29"/>
      <c r="AE90" s="30"/>
      <c r="AH90" s="30"/>
    </row>
    <row r="91" spans="2:34" ht="12.75">
      <c r="B91" s="11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37"/>
      <c r="S91" s="40"/>
      <c r="T91" s="40"/>
      <c r="U91" s="40"/>
      <c r="V91" s="38"/>
      <c r="W91" s="25"/>
      <c r="X91" s="21"/>
      <c r="Y91" s="21"/>
      <c r="Z91" s="24"/>
      <c r="AA91" s="24"/>
      <c r="AB91" s="28"/>
      <c r="AC91" s="28"/>
      <c r="AD91" s="29"/>
      <c r="AE91" s="30"/>
      <c r="AH91" s="30"/>
    </row>
    <row r="92" spans="2:34" ht="12.75">
      <c r="B92" s="119"/>
      <c r="C92" s="40"/>
      <c r="D92" s="37"/>
      <c r="E92" s="113"/>
      <c r="F92" s="113"/>
      <c r="G92" s="232" t="s">
        <v>248</v>
      </c>
      <c r="H92" s="232"/>
      <c r="I92" s="232"/>
      <c r="J92" s="232"/>
      <c r="K92" s="232"/>
      <c r="L92" s="232"/>
      <c r="M92" s="232"/>
      <c r="N92" s="232"/>
      <c r="O92" s="232"/>
      <c r="P92" s="232"/>
      <c r="Q92" s="115"/>
      <c r="R92" s="115"/>
      <c r="S92" s="40"/>
      <c r="T92" s="40"/>
      <c r="U92" s="40"/>
      <c r="V92" s="38"/>
      <c r="W92" s="25"/>
      <c r="X92" s="21"/>
      <c r="Y92" s="21"/>
      <c r="Z92" s="24"/>
      <c r="AA92" s="24"/>
      <c r="AB92" s="28"/>
      <c r="AC92" s="28"/>
      <c r="AD92" s="29"/>
      <c r="AE92" s="30"/>
      <c r="AH92" s="30"/>
    </row>
    <row r="93" spans="2:34" ht="12.75">
      <c r="B93" s="119"/>
      <c r="C93" s="40"/>
      <c r="D93" s="37"/>
      <c r="E93" s="124" t="s">
        <v>247</v>
      </c>
      <c r="F93" s="127">
        <v>2.5</v>
      </c>
      <c r="G93" s="127">
        <v>4</v>
      </c>
      <c r="H93" s="127">
        <v>5</v>
      </c>
      <c r="I93" s="129">
        <v>7.5</v>
      </c>
      <c r="J93" s="127">
        <v>10</v>
      </c>
      <c r="K93" s="127">
        <v>15</v>
      </c>
      <c r="L93" s="127">
        <v>20</v>
      </c>
      <c r="M93" s="127">
        <v>25</v>
      </c>
      <c r="N93" s="127">
        <v>30</v>
      </c>
      <c r="O93" s="127">
        <v>50</v>
      </c>
      <c r="P93" s="127">
        <v>70</v>
      </c>
      <c r="Q93" s="40"/>
      <c r="R93" s="116" t="s">
        <v>258</v>
      </c>
      <c r="S93" s="40">
        <f>$C$27</f>
        <v>600</v>
      </c>
      <c r="T93" s="40"/>
      <c r="U93" s="40"/>
      <c r="V93" s="38"/>
      <c r="W93" s="25"/>
      <c r="X93" s="21"/>
      <c r="Y93" s="21"/>
      <c r="Z93" s="24"/>
      <c r="AA93" s="24"/>
      <c r="AB93" s="28"/>
      <c r="AC93" s="28"/>
      <c r="AD93" s="29"/>
      <c r="AE93" s="30"/>
      <c r="AH93" s="30"/>
    </row>
    <row r="94" spans="2:34" ht="12.75">
      <c r="B94" s="119"/>
      <c r="C94" s="39" t="s">
        <v>269</v>
      </c>
      <c r="D94" s="40"/>
      <c r="E94" s="125" t="s">
        <v>245</v>
      </c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40"/>
      <c r="R94" s="116" t="s">
        <v>259</v>
      </c>
      <c r="S94" s="40">
        <f>IF($C$30=$C$174,480,IF($C$30=$C$175,480,600))</f>
        <v>480</v>
      </c>
      <c r="T94" s="40"/>
      <c r="U94" s="40"/>
      <c r="V94" s="38"/>
      <c r="W94" s="25"/>
      <c r="X94" s="21"/>
      <c r="Y94" s="21"/>
      <c r="Z94" s="24"/>
      <c r="AA94" s="24"/>
      <c r="AB94" s="28"/>
      <c r="AC94" s="28"/>
      <c r="AD94" s="29"/>
      <c r="AE94" s="30"/>
      <c r="AH94" s="30"/>
    </row>
    <row r="95" spans="2:34" ht="12.75">
      <c r="B95" s="119"/>
      <c r="C95" s="139"/>
      <c r="D95" s="40"/>
      <c r="E95" s="125" t="s">
        <v>246</v>
      </c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40"/>
      <c r="R95" s="116" t="s">
        <v>260</v>
      </c>
      <c r="S95" s="113" t="str">
        <f>IF($C$30=$C$174,"Delta",IF($C$27=$C$175,"Wye","Wye"))</f>
        <v>Delta</v>
      </c>
      <c r="T95" s="113"/>
      <c r="U95" s="113"/>
      <c r="V95" s="38"/>
      <c r="W95" s="25"/>
      <c r="X95" s="21"/>
      <c r="Y95" s="21"/>
      <c r="Z95" s="24"/>
      <c r="AA95" s="24"/>
      <c r="AB95" s="28"/>
      <c r="AC95" s="28"/>
      <c r="AD95" s="29"/>
      <c r="AE95" s="30"/>
      <c r="AH95" s="30"/>
    </row>
    <row r="96" spans="2:34" ht="12.75">
      <c r="B96" s="119"/>
      <c r="C96" s="40"/>
      <c r="D96" s="40"/>
      <c r="E96" s="126" t="s">
        <v>256</v>
      </c>
      <c r="F96" s="128">
        <f>SUM(F94:F95)</f>
        <v>0</v>
      </c>
      <c r="G96" s="128">
        <f aca="true" t="shared" si="4" ref="G96:P96">SUM(G94:G95)</f>
        <v>0</v>
      </c>
      <c r="H96" s="128">
        <f>SUM(H94:H95)</f>
        <v>0</v>
      </c>
      <c r="I96" s="128">
        <f t="shared" si="4"/>
        <v>0</v>
      </c>
      <c r="J96" s="128">
        <f t="shared" si="4"/>
        <v>0</v>
      </c>
      <c r="K96" s="128">
        <f t="shared" si="4"/>
        <v>0</v>
      </c>
      <c r="L96" s="128">
        <f t="shared" si="4"/>
        <v>0</v>
      </c>
      <c r="M96" s="128">
        <f>SUM(M94:M95)</f>
        <v>0</v>
      </c>
      <c r="N96" s="128">
        <f t="shared" si="4"/>
        <v>0</v>
      </c>
      <c r="O96" s="128">
        <f t="shared" si="4"/>
        <v>0</v>
      </c>
      <c r="P96" s="128">
        <f t="shared" si="4"/>
        <v>0</v>
      </c>
      <c r="Q96" s="40"/>
      <c r="R96" s="116" t="s">
        <v>265</v>
      </c>
      <c r="S96" s="122">
        <f>IF(AND(S93=600,S95="Delta"),'600A Delta sht2'!$C$13,IF(AND(S93=800,S95="Delta"),'800A Delta sht2'!$C$13,'600A Wye sht2'!$C$13))</f>
        <v>1039.2304845413264</v>
      </c>
      <c r="T96" s="40"/>
      <c r="U96" s="40"/>
      <c r="V96" s="38"/>
      <c r="W96" s="25"/>
      <c r="X96" s="21"/>
      <c r="Y96" s="21"/>
      <c r="Z96" s="24"/>
      <c r="AA96" s="24"/>
      <c r="AB96" s="28"/>
      <c r="AC96" s="28"/>
      <c r="AD96" s="29"/>
      <c r="AE96" s="30"/>
      <c r="AH96" s="30"/>
    </row>
    <row r="97" spans="2:34" ht="12.75">
      <c r="B97" s="119"/>
      <c r="C97" s="40"/>
      <c r="D97" s="40"/>
      <c r="E97" s="126" t="s">
        <v>266</v>
      </c>
      <c r="F97" s="128">
        <f>IF($S$79="Delta",'600A Delta sht2'!$H$74,'600A Wye sht2'!$H$74)</f>
        <v>11.831275720164609</v>
      </c>
      <c r="G97" s="128">
        <f>IF($S$79="Delta",'600A Delta sht2'!$H$74,'600A Wye sht2'!$H$74)</f>
        <v>11.831275720164609</v>
      </c>
      <c r="H97" s="128">
        <f>IF($S$79="Delta",'600A Delta sht2'!$H$72,'600A Wye sht2'!$H$72)</f>
        <v>22.183641975308642</v>
      </c>
      <c r="I97" s="128">
        <f>IF($S$79="Delta",'600A Delta sht2'!$H$72,'600A Wye sht2'!$H$72)</f>
        <v>22.183641975308642</v>
      </c>
      <c r="J97" s="128">
        <f>IF($S$79="Delta",'600A Delta sht2'!$H$71,'600A Wye sht2'!$H$71)</f>
        <v>29.578189300411523</v>
      </c>
      <c r="K97" s="128">
        <f>IF($S$79="Delta",'600A Delta sht2'!$H$70,'600A Wye sht2'!$H$70)</f>
        <v>42.03216374269006</v>
      </c>
      <c r="L97" s="128">
        <f>IF($S$79="Delta",'600A Delta sht2'!$H$69,'600A Wye sht2'!$H$69)</f>
        <v>56.04288499025341</v>
      </c>
      <c r="M97" s="128">
        <f>IF($S$79="Delta",'600A Delta sht2'!$H$67,'600A Wye sht2'!$H$67)</f>
        <v>82.23684210526316</v>
      </c>
      <c r="N97" s="128">
        <f>IF($S$79="Delta",'600A Delta sht2'!$H$67,'600A Wye sht2'!$H$67)</f>
        <v>82.23684210526316</v>
      </c>
      <c r="O97" s="128">
        <f>IF($S$79="Delta",'600A Delta sht2'!$H$76,'600A Wye sht2'!$H$76)</f>
        <v>135.58762497641953</v>
      </c>
      <c r="P97" s="128">
        <f>IF($S$79="Delta",'600A Delta sht2'!$H$77,'600A Wye sht2'!$H$77)</f>
        <v>187.80328480776413</v>
      </c>
      <c r="Q97" s="115" t="s">
        <v>40</v>
      </c>
      <c r="R97" s="115" t="s">
        <v>257</v>
      </c>
      <c r="S97" s="40"/>
      <c r="T97" s="40"/>
      <c r="U97" s="40"/>
      <c r="V97" s="38"/>
      <c r="W97" s="25"/>
      <c r="X97" s="21"/>
      <c r="Y97" s="21"/>
      <c r="Z97" s="24"/>
      <c r="AA97" s="24"/>
      <c r="AB97" s="28"/>
      <c r="AC97" s="28"/>
      <c r="AD97" s="29"/>
      <c r="AE97" s="30"/>
      <c r="AH97" s="30"/>
    </row>
    <row r="98" spans="2:34" ht="12.75">
      <c r="B98" s="119"/>
      <c r="C98" s="40"/>
      <c r="D98" s="40"/>
      <c r="E98" s="126" t="s">
        <v>255</v>
      </c>
      <c r="F98" s="128">
        <f>F97*F96</f>
        <v>0</v>
      </c>
      <c r="G98" s="128">
        <f aca="true" t="shared" si="5" ref="G98:P98">G97*G96</f>
        <v>0</v>
      </c>
      <c r="H98" s="128">
        <f>H97*H96</f>
        <v>0</v>
      </c>
      <c r="I98" s="128">
        <f t="shared" si="5"/>
        <v>0</v>
      </c>
      <c r="J98" s="128">
        <f t="shared" si="5"/>
        <v>0</v>
      </c>
      <c r="K98" s="128">
        <f t="shared" si="5"/>
        <v>0</v>
      </c>
      <c r="L98" s="128">
        <f t="shared" si="5"/>
        <v>0</v>
      </c>
      <c r="M98" s="128">
        <f>M97*M96</f>
        <v>0</v>
      </c>
      <c r="N98" s="128">
        <f t="shared" si="5"/>
        <v>0</v>
      </c>
      <c r="O98" s="128">
        <f t="shared" si="5"/>
        <v>0</v>
      </c>
      <c r="P98" s="128">
        <f t="shared" si="5"/>
        <v>0</v>
      </c>
      <c r="Q98" s="117">
        <f>SUM(G98:P98)</f>
        <v>0</v>
      </c>
      <c r="R98" s="109">
        <f>Q98/S96</f>
        <v>0</v>
      </c>
      <c r="S98" s="105" t="s">
        <v>267</v>
      </c>
      <c r="T98" s="105"/>
      <c r="U98" s="105"/>
      <c r="V98" s="38"/>
      <c r="W98" s="25"/>
      <c r="X98" s="21"/>
      <c r="Y98" s="21"/>
      <c r="Z98" s="24"/>
      <c r="AA98" s="24"/>
      <c r="AB98" s="28"/>
      <c r="AC98" s="28"/>
      <c r="AD98" s="29"/>
      <c r="AE98" s="30"/>
      <c r="AH98" s="30"/>
    </row>
    <row r="99" spans="2:34" ht="12.75">
      <c r="B99" s="11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37"/>
      <c r="S99" s="40"/>
      <c r="T99" s="40"/>
      <c r="U99" s="40"/>
      <c r="V99" s="38"/>
      <c r="W99" s="25"/>
      <c r="X99" s="21"/>
      <c r="Y99" s="21"/>
      <c r="Z99" s="24"/>
      <c r="AA99" s="24"/>
      <c r="AB99" s="28"/>
      <c r="AC99" s="28"/>
      <c r="AD99" s="29"/>
      <c r="AE99" s="30"/>
      <c r="AH99" s="30"/>
    </row>
    <row r="100" spans="2:34" ht="12.75">
      <c r="B100" s="119"/>
      <c r="C100" s="40"/>
      <c r="D100" s="37"/>
      <c r="E100" s="113"/>
      <c r="F100" s="113"/>
      <c r="G100" s="232" t="s">
        <v>248</v>
      </c>
      <c r="H100" s="232"/>
      <c r="I100" s="232"/>
      <c r="J100" s="232"/>
      <c r="K100" s="232"/>
      <c r="L100" s="232"/>
      <c r="M100" s="232"/>
      <c r="N100" s="232"/>
      <c r="O100" s="232"/>
      <c r="P100" s="232"/>
      <c r="Q100" s="115"/>
      <c r="R100" s="115"/>
      <c r="S100" s="40"/>
      <c r="T100" s="40"/>
      <c r="U100" s="40"/>
      <c r="V100" s="38"/>
      <c r="W100" s="25"/>
      <c r="X100" s="21"/>
      <c r="Y100" s="21"/>
      <c r="Z100" s="24"/>
      <c r="AA100" s="24"/>
      <c r="AB100" s="28"/>
      <c r="AC100" s="28"/>
      <c r="AD100" s="29"/>
      <c r="AE100" s="30"/>
      <c r="AH100" s="30"/>
    </row>
    <row r="101" spans="2:34" ht="12.75">
      <c r="B101" s="119"/>
      <c r="C101" s="40"/>
      <c r="D101" s="37"/>
      <c r="E101" s="124" t="s">
        <v>247</v>
      </c>
      <c r="F101" s="127">
        <v>2.5</v>
      </c>
      <c r="G101" s="127">
        <v>4</v>
      </c>
      <c r="H101" s="127">
        <v>5</v>
      </c>
      <c r="I101" s="129">
        <v>7.5</v>
      </c>
      <c r="J101" s="127">
        <v>10</v>
      </c>
      <c r="K101" s="127">
        <v>15</v>
      </c>
      <c r="L101" s="127">
        <v>20</v>
      </c>
      <c r="M101" s="127">
        <v>25</v>
      </c>
      <c r="N101" s="127">
        <v>30</v>
      </c>
      <c r="O101" s="127">
        <v>50</v>
      </c>
      <c r="P101" s="127">
        <v>70</v>
      </c>
      <c r="Q101" s="40"/>
      <c r="R101" s="116" t="s">
        <v>258</v>
      </c>
      <c r="S101" s="40">
        <f>$C$27</f>
        <v>600</v>
      </c>
      <c r="T101" s="40"/>
      <c r="U101" s="40"/>
      <c r="V101" s="38"/>
      <c r="W101" s="25"/>
      <c r="X101" s="21"/>
      <c r="Y101" s="21"/>
      <c r="Z101" s="24"/>
      <c r="AA101" s="24"/>
      <c r="AB101" s="28"/>
      <c r="AC101" s="28"/>
      <c r="AD101" s="29"/>
      <c r="AE101" s="30"/>
      <c r="AH101" s="30"/>
    </row>
    <row r="102" spans="2:34" ht="12.75">
      <c r="B102" s="119"/>
      <c r="C102" s="39" t="s">
        <v>270</v>
      </c>
      <c r="D102" s="40"/>
      <c r="E102" s="125" t="s">
        <v>245</v>
      </c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40"/>
      <c r="R102" s="116" t="s">
        <v>259</v>
      </c>
      <c r="S102" s="40">
        <f>IF($C$30=$C$174,480,IF($C$30=$C$175,480,600))</f>
        <v>480</v>
      </c>
      <c r="T102" s="40"/>
      <c r="U102" s="40"/>
      <c r="V102" s="38"/>
      <c r="W102" s="25"/>
      <c r="X102" s="21"/>
      <c r="Y102" s="21"/>
      <c r="Z102" s="24"/>
      <c r="AA102" s="24"/>
      <c r="AB102" s="28"/>
      <c r="AC102" s="28"/>
      <c r="AD102" s="29"/>
      <c r="AE102" s="30"/>
      <c r="AH102" s="30"/>
    </row>
    <row r="103" spans="2:34" ht="12.75">
      <c r="B103" s="119"/>
      <c r="C103" s="139"/>
      <c r="D103" s="40"/>
      <c r="E103" s="125" t="s">
        <v>246</v>
      </c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40"/>
      <c r="R103" s="116" t="s">
        <v>260</v>
      </c>
      <c r="S103" s="113" t="str">
        <f>IF($C$30=$C$174,"Delta",IF($C$27=$C$175,"Wye","Wye"))</f>
        <v>Delta</v>
      </c>
      <c r="T103" s="113"/>
      <c r="U103" s="113"/>
      <c r="V103" s="38"/>
      <c r="W103" s="25"/>
      <c r="X103" s="21"/>
      <c r="Y103" s="21"/>
      <c r="Z103" s="24"/>
      <c r="AA103" s="24"/>
      <c r="AB103" s="28"/>
      <c r="AC103" s="28"/>
      <c r="AD103" s="29"/>
      <c r="AE103" s="30"/>
      <c r="AH103" s="30"/>
    </row>
    <row r="104" spans="2:34" ht="12.75">
      <c r="B104" s="119"/>
      <c r="C104" s="40"/>
      <c r="D104" s="40"/>
      <c r="E104" s="126" t="s">
        <v>256</v>
      </c>
      <c r="F104" s="128">
        <f>SUM(F102:F103)</f>
        <v>0</v>
      </c>
      <c r="G104" s="128">
        <f aca="true" t="shared" si="6" ref="G104:P104">SUM(G102:G103)</f>
        <v>0</v>
      </c>
      <c r="H104" s="128">
        <f>SUM(H102:H103)</f>
        <v>0</v>
      </c>
      <c r="I104" s="128">
        <f t="shared" si="6"/>
        <v>0</v>
      </c>
      <c r="J104" s="128">
        <f t="shared" si="6"/>
        <v>0</v>
      </c>
      <c r="K104" s="128">
        <f t="shared" si="6"/>
        <v>0</v>
      </c>
      <c r="L104" s="128">
        <f t="shared" si="6"/>
        <v>0</v>
      </c>
      <c r="M104" s="128">
        <f>SUM(M102:M103)</f>
        <v>0</v>
      </c>
      <c r="N104" s="128">
        <f t="shared" si="6"/>
        <v>0</v>
      </c>
      <c r="O104" s="128">
        <f t="shared" si="6"/>
        <v>0</v>
      </c>
      <c r="P104" s="128">
        <f t="shared" si="6"/>
        <v>0</v>
      </c>
      <c r="Q104" s="40"/>
      <c r="R104" s="116" t="s">
        <v>265</v>
      </c>
      <c r="S104" s="122">
        <f>IF(AND(S101=600,S103="Delta"),'600A Delta sht2'!$C$13,IF(AND(S101=800,S103="Delta"),'800A Delta sht2'!$C$13,'600A Wye sht2'!$C$13))</f>
        <v>1039.2304845413264</v>
      </c>
      <c r="T104" s="40"/>
      <c r="U104" s="40"/>
      <c r="V104" s="38"/>
      <c r="W104" s="25"/>
      <c r="X104" s="21"/>
      <c r="Y104" s="21"/>
      <c r="Z104" s="24"/>
      <c r="AA104" s="24"/>
      <c r="AB104" s="28"/>
      <c r="AC104" s="28"/>
      <c r="AD104" s="29"/>
      <c r="AE104" s="30"/>
      <c r="AH104" s="30"/>
    </row>
    <row r="105" spans="2:34" ht="12.75">
      <c r="B105" s="119"/>
      <c r="C105" s="40"/>
      <c r="D105" s="40"/>
      <c r="E105" s="126" t="s">
        <v>266</v>
      </c>
      <c r="F105" s="128">
        <f>IF($S$79="Delta",'600A Delta sht2'!$H$74,'600A Wye sht2'!$H$74)</f>
        <v>11.831275720164609</v>
      </c>
      <c r="G105" s="128">
        <f>IF($S$79="Delta",'600A Delta sht2'!$H$74,'600A Wye sht2'!$H$74)</f>
        <v>11.831275720164609</v>
      </c>
      <c r="H105" s="128">
        <f>IF($S$79="Delta",'600A Delta sht2'!$H$72,'600A Wye sht2'!$H$72)</f>
        <v>22.183641975308642</v>
      </c>
      <c r="I105" s="128">
        <f>IF($S$79="Delta",'600A Delta sht2'!$H$72,'600A Wye sht2'!$H$72)</f>
        <v>22.183641975308642</v>
      </c>
      <c r="J105" s="128">
        <f>IF($S$79="Delta",'600A Delta sht2'!$H$71,'600A Wye sht2'!$H$71)</f>
        <v>29.578189300411523</v>
      </c>
      <c r="K105" s="128">
        <f>IF($S$79="Delta",'600A Delta sht2'!$H$70,'600A Wye sht2'!$H$70)</f>
        <v>42.03216374269006</v>
      </c>
      <c r="L105" s="128">
        <f>IF($S$79="Delta",'600A Delta sht2'!$H$69,'600A Wye sht2'!$H$69)</f>
        <v>56.04288499025341</v>
      </c>
      <c r="M105" s="128">
        <f>IF($S$79="Delta",'600A Delta sht2'!$H$67,'600A Wye sht2'!$H$67)</f>
        <v>82.23684210526316</v>
      </c>
      <c r="N105" s="128">
        <f>IF($S$79="Delta",'600A Delta sht2'!$H$67,'600A Wye sht2'!$H$67)</f>
        <v>82.23684210526316</v>
      </c>
      <c r="O105" s="128">
        <f>IF($S$79="Delta",'600A Delta sht2'!$H$76,'600A Wye sht2'!$H$76)</f>
        <v>135.58762497641953</v>
      </c>
      <c r="P105" s="128">
        <f>IF($S$79="Delta",'600A Delta sht2'!$H$77,'600A Wye sht2'!$H$77)</f>
        <v>187.80328480776413</v>
      </c>
      <c r="Q105" s="115" t="s">
        <v>40</v>
      </c>
      <c r="R105" s="115" t="s">
        <v>257</v>
      </c>
      <c r="S105" s="40"/>
      <c r="T105" s="40"/>
      <c r="U105" s="40"/>
      <c r="V105" s="38"/>
      <c r="W105" s="25"/>
      <c r="X105" s="21"/>
      <c r="Y105" s="21"/>
      <c r="Z105" s="24"/>
      <c r="AA105" s="24"/>
      <c r="AB105" s="28"/>
      <c r="AC105" s="28"/>
      <c r="AD105" s="29"/>
      <c r="AE105" s="30"/>
      <c r="AH105" s="30"/>
    </row>
    <row r="106" spans="2:34" ht="12.75">
      <c r="B106" s="119"/>
      <c r="C106" s="40"/>
      <c r="D106" s="40"/>
      <c r="E106" s="126" t="s">
        <v>255</v>
      </c>
      <c r="F106" s="128">
        <f>F105*F104</f>
        <v>0</v>
      </c>
      <c r="G106" s="128">
        <f aca="true" t="shared" si="7" ref="G106:P106">G105*G104</f>
        <v>0</v>
      </c>
      <c r="H106" s="128">
        <f>H105*H104</f>
        <v>0</v>
      </c>
      <c r="I106" s="128">
        <f t="shared" si="7"/>
        <v>0</v>
      </c>
      <c r="J106" s="128">
        <f t="shared" si="7"/>
        <v>0</v>
      </c>
      <c r="K106" s="128">
        <f t="shared" si="7"/>
        <v>0</v>
      </c>
      <c r="L106" s="128">
        <f t="shared" si="7"/>
        <v>0</v>
      </c>
      <c r="M106" s="128">
        <f>M105*M104</f>
        <v>0</v>
      </c>
      <c r="N106" s="128">
        <f t="shared" si="7"/>
        <v>0</v>
      </c>
      <c r="O106" s="128">
        <f t="shared" si="7"/>
        <v>0</v>
      </c>
      <c r="P106" s="128">
        <f t="shared" si="7"/>
        <v>0</v>
      </c>
      <c r="Q106" s="117">
        <f>SUM(G106:P106)</f>
        <v>0</v>
      </c>
      <c r="R106" s="109">
        <f>Q106/S104</f>
        <v>0</v>
      </c>
      <c r="S106" s="105" t="s">
        <v>267</v>
      </c>
      <c r="T106" s="105"/>
      <c r="U106" s="105"/>
      <c r="V106" s="38"/>
      <c r="W106" s="25"/>
      <c r="X106" s="21"/>
      <c r="Y106" s="21"/>
      <c r="Z106" s="24"/>
      <c r="AA106" s="24"/>
      <c r="AB106" s="28"/>
      <c r="AC106" s="28"/>
      <c r="AD106" s="29"/>
      <c r="AE106" s="30"/>
      <c r="AH106" s="30"/>
    </row>
    <row r="107" spans="2:34" ht="13.5" thickBot="1">
      <c r="B107" s="42"/>
      <c r="C107" s="118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4"/>
      <c r="W107" s="25"/>
      <c r="X107" s="21"/>
      <c r="Y107" s="21"/>
      <c r="Z107" s="24"/>
      <c r="AA107" s="24"/>
      <c r="AB107" s="28"/>
      <c r="AC107" s="28"/>
      <c r="AD107" s="29"/>
      <c r="AE107" s="30"/>
      <c r="AH107" s="30"/>
    </row>
    <row r="108" spans="2:34" ht="13.5" thickBot="1">
      <c r="B108" s="31"/>
      <c r="C108" s="21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5"/>
      <c r="W108" s="25"/>
      <c r="X108" s="21"/>
      <c r="Y108" s="21"/>
      <c r="Z108" s="24"/>
      <c r="AA108" s="24"/>
      <c r="AB108" s="28"/>
      <c r="AC108" s="28"/>
      <c r="AD108" s="29"/>
      <c r="AE108" s="30"/>
      <c r="AH108" s="30"/>
    </row>
    <row r="109" spans="2:34" ht="15.75" thickBot="1">
      <c r="B109" s="210"/>
      <c r="C109" s="211" t="s">
        <v>200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3"/>
      <c r="W109" s="25"/>
      <c r="X109" s="21"/>
      <c r="Y109" s="21"/>
      <c r="Z109" s="24"/>
      <c r="AA109" s="24"/>
      <c r="AB109" s="28"/>
      <c r="AC109" s="28"/>
      <c r="AD109" s="29"/>
      <c r="AE109" s="30"/>
      <c r="AH109" s="30"/>
    </row>
    <row r="110" spans="2:34" ht="12.75">
      <c r="B110" s="214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6"/>
      <c r="T110" s="216"/>
      <c r="U110" s="216"/>
      <c r="V110" s="217"/>
      <c r="W110" s="25"/>
      <c r="X110" s="21"/>
      <c r="Y110" s="21"/>
      <c r="Z110" s="24"/>
      <c r="AA110" s="24"/>
      <c r="AB110" s="28"/>
      <c r="AC110" s="28"/>
      <c r="AD110" s="29"/>
      <c r="AE110" s="30"/>
      <c r="AH110" s="30"/>
    </row>
    <row r="111" spans="2:34" ht="12.75">
      <c r="B111" s="214"/>
      <c r="C111" s="216" t="s">
        <v>204</v>
      </c>
      <c r="D111" s="215"/>
      <c r="E111" s="216" t="s">
        <v>213</v>
      </c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5"/>
      <c r="Q111" s="216" t="s">
        <v>212</v>
      </c>
      <c r="R111" s="215"/>
      <c r="S111" s="216"/>
      <c r="T111" s="216"/>
      <c r="U111" s="216"/>
      <c r="V111" s="217"/>
      <c r="W111" s="25"/>
      <c r="X111" s="21"/>
      <c r="Y111" s="21"/>
      <c r="Z111" s="24"/>
      <c r="AA111" s="24"/>
      <c r="AB111" s="28"/>
      <c r="AC111" s="28"/>
      <c r="AD111" s="29"/>
      <c r="AE111" s="30"/>
      <c r="AH111" s="30"/>
    </row>
    <row r="112" spans="2:34" ht="12.75" customHeight="1">
      <c r="B112" s="214"/>
      <c r="C112" s="142" t="s">
        <v>195</v>
      </c>
      <c r="D112" s="215"/>
      <c r="E112" s="233" t="s">
        <v>195</v>
      </c>
      <c r="F112" s="233"/>
      <c r="G112" s="233"/>
      <c r="H112" s="233"/>
      <c r="I112" s="233"/>
      <c r="J112" s="233"/>
      <c r="K112" s="233"/>
      <c r="L112" s="233"/>
      <c r="M112" s="233"/>
      <c r="N112" s="233"/>
      <c r="O112" s="218"/>
      <c r="P112" s="215"/>
      <c r="Q112" s="195"/>
      <c r="R112" s="195"/>
      <c r="S112" s="195"/>
      <c r="T112" s="195"/>
      <c r="U112" s="195"/>
      <c r="V112" s="217"/>
      <c r="W112" s="25"/>
      <c r="X112" s="21"/>
      <c r="Y112" s="21"/>
      <c r="Z112" s="24"/>
      <c r="AA112" s="24"/>
      <c r="AB112" s="28"/>
      <c r="AC112" s="28"/>
      <c r="AD112" s="29"/>
      <c r="AE112" s="30"/>
      <c r="AH112" s="30"/>
    </row>
    <row r="113" spans="2:34" ht="12.75">
      <c r="B113" s="214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195"/>
      <c r="R113" s="195"/>
      <c r="S113" s="195"/>
      <c r="T113" s="195"/>
      <c r="U113" s="195"/>
      <c r="V113" s="217"/>
      <c r="W113" s="25"/>
      <c r="X113" s="21"/>
      <c r="Y113" s="21"/>
      <c r="Z113" s="24"/>
      <c r="AA113" s="24"/>
      <c r="AB113" s="28"/>
      <c r="AC113" s="28"/>
      <c r="AD113" s="29"/>
      <c r="AE113" s="30"/>
      <c r="AH113" s="30"/>
    </row>
    <row r="114" spans="2:34" ht="12.75">
      <c r="B114" s="214"/>
      <c r="C114" s="216" t="s">
        <v>205</v>
      </c>
      <c r="D114" s="215"/>
      <c r="E114" s="216" t="s">
        <v>214</v>
      </c>
      <c r="F114" s="216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195"/>
      <c r="R114" s="195"/>
      <c r="S114" s="195"/>
      <c r="T114" s="195"/>
      <c r="U114" s="195"/>
      <c r="V114" s="217"/>
      <c r="W114" s="25"/>
      <c r="X114" s="21"/>
      <c r="Y114" s="21"/>
      <c r="Z114" s="24"/>
      <c r="AA114" s="24"/>
      <c r="AB114" s="28"/>
      <c r="AC114" s="28"/>
      <c r="AD114" s="29"/>
      <c r="AE114" s="30"/>
      <c r="AH114" s="30"/>
    </row>
    <row r="115" spans="2:34" ht="12.75">
      <c r="B115" s="214"/>
      <c r="C115" s="140" t="s">
        <v>195</v>
      </c>
      <c r="D115" s="215"/>
      <c r="E115" s="233" t="s">
        <v>195</v>
      </c>
      <c r="F115" s="233"/>
      <c r="G115" s="233"/>
      <c r="H115" s="233"/>
      <c r="I115" s="233"/>
      <c r="J115" s="233"/>
      <c r="K115" s="233"/>
      <c r="L115" s="233"/>
      <c r="M115" s="233"/>
      <c r="N115" s="233"/>
      <c r="O115" s="218"/>
      <c r="P115" s="215"/>
      <c r="Q115" s="195"/>
      <c r="R115" s="195"/>
      <c r="S115" s="195"/>
      <c r="T115" s="195"/>
      <c r="U115" s="195"/>
      <c r="V115" s="217"/>
      <c r="W115" s="25"/>
      <c r="X115" s="21"/>
      <c r="Y115" s="21"/>
      <c r="Z115" s="24"/>
      <c r="AA115" s="24"/>
      <c r="AB115" s="28"/>
      <c r="AC115" s="28"/>
      <c r="AD115" s="29"/>
      <c r="AE115" s="30"/>
      <c r="AH115" s="30"/>
    </row>
    <row r="116" spans="2:34" ht="12.75" customHeight="1">
      <c r="B116" s="214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195"/>
      <c r="R116" s="195"/>
      <c r="S116" s="195"/>
      <c r="T116" s="195"/>
      <c r="U116" s="195"/>
      <c r="V116" s="217"/>
      <c r="W116" s="25"/>
      <c r="X116" s="21"/>
      <c r="Y116" s="21"/>
      <c r="Z116" s="24"/>
      <c r="AA116" s="24"/>
      <c r="AB116" s="28"/>
      <c r="AC116" s="28"/>
      <c r="AD116" s="29"/>
      <c r="AE116" s="30"/>
      <c r="AH116" s="30"/>
    </row>
    <row r="117" spans="2:34" ht="12" customHeight="1">
      <c r="B117" s="214"/>
      <c r="C117" s="219" t="s">
        <v>206</v>
      </c>
      <c r="D117" s="215"/>
      <c r="E117" s="234" t="s">
        <v>215</v>
      </c>
      <c r="F117" s="234"/>
      <c r="G117" s="234"/>
      <c r="H117" s="234"/>
      <c r="I117" s="234"/>
      <c r="J117" s="234"/>
      <c r="K117" s="234"/>
      <c r="L117" s="234"/>
      <c r="M117" s="234"/>
      <c r="N117" s="234"/>
      <c r="O117" s="220"/>
      <c r="P117" s="215"/>
      <c r="Q117" s="195"/>
      <c r="R117" s="195"/>
      <c r="S117" s="195"/>
      <c r="T117" s="195"/>
      <c r="U117" s="195"/>
      <c r="V117" s="217"/>
      <c r="W117" s="25"/>
      <c r="X117" s="21"/>
      <c r="Y117" s="21"/>
      <c r="Z117" s="24"/>
      <c r="AA117" s="24"/>
      <c r="AB117" s="28"/>
      <c r="AC117" s="28"/>
      <c r="AD117" s="29"/>
      <c r="AE117" s="30"/>
      <c r="AH117" s="30"/>
    </row>
    <row r="118" spans="2:34" ht="12.75">
      <c r="B118" s="214"/>
      <c r="C118" s="224" t="s">
        <v>195</v>
      </c>
      <c r="D118" s="215"/>
      <c r="E118" s="234" t="s">
        <v>216</v>
      </c>
      <c r="F118" s="234"/>
      <c r="G118" s="234"/>
      <c r="H118" s="234"/>
      <c r="I118" s="234"/>
      <c r="J118" s="234"/>
      <c r="K118" s="234"/>
      <c r="L118" s="234"/>
      <c r="M118" s="234"/>
      <c r="N118" s="234"/>
      <c r="O118" s="220"/>
      <c r="P118" s="215"/>
      <c r="Q118" s="195"/>
      <c r="R118" s="195"/>
      <c r="S118" s="195"/>
      <c r="T118" s="195"/>
      <c r="U118" s="195"/>
      <c r="V118" s="217"/>
      <c r="W118" s="25"/>
      <c r="X118" s="21"/>
      <c r="Y118" s="21"/>
      <c r="Z118" s="24"/>
      <c r="AA118" s="24"/>
      <c r="AB118" s="28"/>
      <c r="AC118" s="28"/>
      <c r="AD118" s="29"/>
      <c r="AE118" s="30"/>
      <c r="AH118" s="30"/>
    </row>
    <row r="119" spans="2:34" ht="12.75" customHeight="1">
      <c r="B119" s="214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195"/>
      <c r="R119" s="195"/>
      <c r="S119" s="195"/>
      <c r="T119" s="195"/>
      <c r="U119" s="195"/>
      <c r="V119" s="217"/>
      <c r="W119" s="25"/>
      <c r="X119" s="21"/>
      <c r="Y119" s="21"/>
      <c r="Z119" s="24"/>
      <c r="AA119" s="24"/>
      <c r="AB119" s="28"/>
      <c r="AC119" s="28"/>
      <c r="AD119" s="29"/>
      <c r="AE119" s="30"/>
      <c r="AH119" s="30"/>
    </row>
    <row r="120" spans="2:34" ht="13.5" thickBot="1">
      <c r="B120" s="221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3"/>
      <c r="W120" s="25"/>
      <c r="X120" s="21"/>
      <c r="Y120" s="21"/>
      <c r="Z120" s="24"/>
      <c r="AA120" s="24"/>
      <c r="AB120" s="28"/>
      <c r="AC120" s="28"/>
      <c r="AD120" s="29"/>
      <c r="AE120" s="30"/>
      <c r="AH120" s="30"/>
    </row>
    <row r="121" spans="2:34" ht="13.5" thickBot="1">
      <c r="B121" s="31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5"/>
      <c r="W121" s="25"/>
      <c r="X121" s="21"/>
      <c r="Y121" s="21"/>
      <c r="Z121" s="24"/>
      <c r="AA121" s="24"/>
      <c r="AB121" s="28"/>
      <c r="AC121" s="28"/>
      <c r="AD121" s="29"/>
      <c r="AE121" s="30"/>
      <c r="AH121" s="30"/>
    </row>
    <row r="122" spans="2:34" ht="15.75" thickBot="1">
      <c r="B122" s="60"/>
      <c r="C122" s="61" t="s">
        <v>217</v>
      </c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3"/>
      <c r="W122" s="25"/>
      <c r="X122" s="21"/>
      <c r="Y122" s="21"/>
      <c r="Z122" s="24"/>
      <c r="AA122" s="24"/>
      <c r="AB122" s="28"/>
      <c r="AC122" s="28"/>
      <c r="AD122" s="29"/>
      <c r="AE122" s="30"/>
      <c r="AH122" s="30"/>
    </row>
    <row r="123" spans="2:34" ht="15">
      <c r="B123" s="64"/>
      <c r="C123" s="123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7"/>
      <c r="W123" s="25"/>
      <c r="X123" s="21"/>
      <c r="Y123" s="21"/>
      <c r="Z123" s="24"/>
      <c r="AA123" s="24"/>
      <c r="AB123" s="28"/>
      <c r="AC123" s="28"/>
      <c r="AD123" s="29"/>
      <c r="AE123" s="30"/>
      <c r="AH123" s="30"/>
    </row>
    <row r="124" spans="2:34" ht="12.75">
      <c r="B124" s="64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6" t="s">
        <v>124</v>
      </c>
      <c r="S124" s="66"/>
      <c r="T124" s="66"/>
      <c r="U124" s="66"/>
      <c r="V124" s="67"/>
      <c r="W124" s="25"/>
      <c r="X124" s="21"/>
      <c r="Y124" s="21"/>
      <c r="Z124" s="24"/>
      <c r="AA124" s="24"/>
      <c r="AB124" s="28"/>
      <c r="AC124" s="28"/>
      <c r="AD124" s="29"/>
      <c r="AE124" s="30"/>
      <c r="AH124" s="30"/>
    </row>
    <row r="125" spans="2:34" ht="15">
      <c r="B125" s="64"/>
      <c r="C125" s="68" t="s">
        <v>218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70"/>
      <c r="O125" s="70"/>
      <c r="P125" s="69"/>
      <c r="Q125" s="65"/>
      <c r="R125" s="195"/>
      <c r="S125" s="195"/>
      <c r="T125" s="195"/>
      <c r="U125" s="195"/>
      <c r="V125" s="67"/>
      <c r="W125" s="25"/>
      <c r="X125" s="21"/>
      <c r="Y125" s="21"/>
      <c r="Z125" s="24"/>
      <c r="AA125" s="24"/>
      <c r="AB125" s="28"/>
      <c r="AC125" s="28"/>
      <c r="AD125" s="29"/>
      <c r="AE125" s="30"/>
      <c r="AH125" s="30"/>
    </row>
    <row r="126" spans="2:34" ht="12.75">
      <c r="B126" s="64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71"/>
      <c r="O126" s="71"/>
      <c r="P126" s="65"/>
      <c r="Q126" s="65"/>
      <c r="R126" s="195"/>
      <c r="S126" s="195"/>
      <c r="T126" s="195"/>
      <c r="U126" s="195"/>
      <c r="V126" s="67"/>
      <c r="W126" s="25"/>
      <c r="X126" s="21"/>
      <c r="Y126" s="21"/>
      <c r="Z126" s="24"/>
      <c r="AA126" s="24"/>
      <c r="AB126" s="28"/>
      <c r="AC126" s="28"/>
      <c r="AD126" s="29"/>
      <c r="AE126" s="30"/>
      <c r="AH126" s="30"/>
    </row>
    <row r="127" spans="2:34" ht="12.75">
      <c r="B127" s="64"/>
      <c r="C127" s="66" t="s">
        <v>219</v>
      </c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72"/>
      <c r="O127" s="72"/>
      <c r="P127" s="65"/>
      <c r="Q127" s="65"/>
      <c r="R127" s="195"/>
      <c r="S127" s="195"/>
      <c r="T127" s="195"/>
      <c r="U127" s="195"/>
      <c r="V127" s="67"/>
      <c r="W127" s="25"/>
      <c r="X127" s="21"/>
      <c r="Y127" s="21"/>
      <c r="Z127" s="24"/>
      <c r="AA127" s="24"/>
      <c r="AB127" s="28"/>
      <c r="AC127" s="28"/>
      <c r="AD127" s="29"/>
      <c r="AE127" s="30"/>
      <c r="AH127" s="30"/>
    </row>
    <row r="128" spans="2:34" ht="12.75">
      <c r="B128" s="64"/>
      <c r="C128" s="142" t="s">
        <v>195</v>
      </c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72"/>
      <c r="O128" s="72"/>
      <c r="P128" s="65"/>
      <c r="Q128" s="65"/>
      <c r="R128" s="195"/>
      <c r="S128" s="195"/>
      <c r="T128" s="195"/>
      <c r="U128" s="195"/>
      <c r="V128" s="67"/>
      <c r="W128" s="25"/>
      <c r="X128" s="21"/>
      <c r="Y128" s="21"/>
      <c r="Z128" s="24"/>
      <c r="AA128" s="24"/>
      <c r="AB128" s="28"/>
      <c r="AC128" s="28"/>
      <c r="AD128" s="29"/>
      <c r="AE128" s="30"/>
      <c r="AH128" s="30"/>
    </row>
    <row r="129" spans="2:34" ht="12.75">
      <c r="B129" s="64"/>
      <c r="C129" s="66" t="s">
        <v>220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72"/>
      <c r="O129" s="72"/>
      <c r="P129" s="65"/>
      <c r="Q129" s="65"/>
      <c r="R129" s="195"/>
      <c r="S129" s="195"/>
      <c r="T129" s="195"/>
      <c r="U129" s="195"/>
      <c r="V129" s="67"/>
      <c r="W129" s="25"/>
      <c r="X129" s="21"/>
      <c r="Y129" s="21"/>
      <c r="Z129" s="24"/>
      <c r="AA129" s="24"/>
      <c r="AB129" s="28"/>
      <c r="AC129" s="28"/>
      <c r="AD129" s="29"/>
      <c r="AE129" s="30"/>
      <c r="AH129" s="30"/>
    </row>
    <row r="130" spans="2:34" ht="12.75">
      <c r="B130" s="64"/>
      <c r="C130" s="142" t="s">
        <v>226</v>
      </c>
      <c r="D130" s="73" t="s">
        <v>125</v>
      </c>
      <c r="E130" s="227">
        <v>0</v>
      </c>
      <c r="F130" s="231"/>
      <c r="G130" s="65"/>
      <c r="H130" s="65"/>
      <c r="I130" s="65"/>
      <c r="J130" s="65"/>
      <c r="K130" s="65"/>
      <c r="L130" s="65"/>
      <c r="M130" s="230"/>
      <c r="N130" s="230"/>
      <c r="O130" s="230"/>
      <c r="P130" s="230"/>
      <c r="Q130" s="65"/>
      <c r="R130" s="195"/>
      <c r="S130" s="195"/>
      <c r="T130" s="195"/>
      <c r="U130" s="195"/>
      <c r="V130" s="67"/>
      <c r="W130" s="25"/>
      <c r="X130" s="21"/>
      <c r="Y130" s="21"/>
      <c r="Z130" s="24"/>
      <c r="AA130" s="24"/>
      <c r="AB130" s="28"/>
      <c r="AC130" s="28"/>
      <c r="AD130" s="29"/>
      <c r="AE130" s="30"/>
      <c r="AH130" s="30"/>
    </row>
    <row r="131" spans="2:34" ht="15.75" customHeight="1">
      <c r="B131" s="64"/>
      <c r="C131" s="74" t="s">
        <v>221</v>
      </c>
      <c r="D131" s="73"/>
      <c r="E131" s="71"/>
      <c r="F131" s="71"/>
      <c r="G131" s="65"/>
      <c r="H131" s="65"/>
      <c r="I131" s="65"/>
      <c r="J131" s="65"/>
      <c r="K131" s="65"/>
      <c r="L131" s="65"/>
      <c r="M131" s="65"/>
      <c r="N131" s="66"/>
      <c r="O131" s="66"/>
      <c r="P131" s="65"/>
      <c r="Q131" s="65"/>
      <c r="R131" s="195"/>
      <c r="S131" s="195"/>
      <c r="T131" s="195"/>
      <c r="U131" s="195"/>
      <c r="V131" s="67"/>
      <c r="W131" s="25"/>
      <c r="X131" s="21"/>
      <c r="Y131" s="21"/>
      <c r="Z131" s="24"/>
      <c r="AA131" s="24"/>
      <c r="AB131" s="28"/>
      <c r="AC131" s="28"/>
      <c r="AD131" s="29"/>
      <c r="AE131" s="30"/>
      <c r="AH131" s="30"/>
    </row>
    <row r="132" spans="2:34" ht="12.75" customHeight="1">
      <c r="B132" s="64"/>
      <c r="C132" s="226" t="s">
        <v>229</v>
      </c>
      <c r="D132" s="73" t="s">
        <v>127</v>
      </c>
      <c r="E132" s="235" t="s">
        <v>232</v>
      </c>
      <c r="F132" s="235"/>
      <c r="G132" s="235"/>
      <c r="H132" s="235"/>
      <c r="I132" s="235"/>
      <c r="J132" s="228"/>
      <c r="K132" s="66"/>
      <c r="L132" s="66"/>
      <c r="M132" s="229"/>
      <c r="N132" s="229" t="s">
        <v>126</v>
      </c>
      <c r="O132" s="229"/>
      <c r="P132" s="227">
        <v>0</v>
      </c>
      <c r="Q132" s="65"/>
      <c r="R132" s="195"/>
      <c r="S132" s="195"/>
      <c r="T132" s="195"/>
      <c r="U132" s="195"/>
      <c r="V132" s="67"/>
      <c r="W132" s="25"/>
      <c r="X132" s="21"/>
      <c r="Y132" s="21"/>
      <c r="Z132" s="24"/>
      <c r="AA132" s="24"/>
      <c r="AB132" s="28"/>
      <c r="AC132" s="28"/>
      <c r="AD132" s="29"/>
      <c r="AE132" s="30"/>
      <c r="AH132" s="30"/>
    </row>
    <row r="133" spans="2:34" ht="15.75" customHeight="1">
      <c r="B133" s="64"/>
      <c r="C133" s="74" t="s">
        <v>222</v>
      </c>
      <c r="D133" s="73"/>
      <c r="E133" s="71"/>
      <c r="F133" s="71"/>
      <c r="G133" s="65"/>
      <c r="H133" s="65"/>
      <c r="I133" s="65"/>
      <c r="J133" s="65"/>
      <c r="K133" s="65"/>
      <c r="L133" s="65"/>
      <c r="M133" s="65"/>
      <c r="N133" s="66"/>
      <c r="O133" s="66"/>
      <c r="P133" s="65"/>
      <c r="Q133" s="65"/>
      <c r="R133" s="195"/>
      <c r="S133" s="195"/>
      <c r="T133" s="195"/>
      <c r="U133" s="195"/>
      <c r="V133" s="67"/>
      <c r="W133" s="25"/>
      <c r="X133" s="21"/>
      <c r="Y133" s="21"/>
      <c r="Z133" s="24"/>
      <c r="AA133" s="24"/>
      <c r="AB133" s="28"/>
      <c r="AC133" s="28"/>
      <c r="AD133" s="29"/>
      <c r="AE133" s="30"/>
      <c r="AH133" s="30"/>
    </row>
    <row r="134" spans="2:34" ht="12.75" customHeight="1">
      <c r="B134" s="64"/>
      <c r="C134" s="226" t="s">
        <v>240</v>
      </c>
      <c r="D134" s="73" t="s">
        <v>127</v>
      </c>
      <c r="E134" s="72"/>
      <c r="F134" s="72"/>
      <c r="G134" s="72"/>
      <c r="H134" s="72"/>
      <c r="I134" s="72"/>
      <c r="J134" s="72"/>
      <c r="K134" s="72"/>
      <c r="L134" s="72"/>
      <c r="M134" s="72"/>
      <c r="N134" s="65"/>
      <c r="O134" s="65"/>
      <c r="P134" s="65"/>
      <c r="Q134" s="65"/>
      <c r="R134" s="195"/>
      <c r="S134" s="195"/>
      <c r="T134" s="195"/>
      <c r="U134" s="195"/>
      <c r="V134" s="67"/>
      <c r="W134" s="25"/>
      <c r="X134" s="21"/>
      <c r="Y134" s="21"/>
      <c r="Z134" s="24"/>
      <c r="AA134" s="24"/>
      <c r="AB134" s="28"/>
      <c r="AC134" s="28"/>
      <c r="AD134" s="29"/>
      <c r="AE134" s="30"/>
      <c r="AH134" s="30"/>
    </row>
    <row r="135" spans="2:34" ht="12.75" customHeight="1">
      <c r="B135" s="64"/>
      <c r="C135" s="74"/>
      <c r="D135" s="73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195"/>
      <c r="S135" s="195"/>
      <c r="T135" s="195"/>
      <c r="U135" s="195"/>
      <c r="V135" s="67"/>
      <c r="W135" s="25"/>
      <c r="X135" s="21"/>
      <c r="Y135" s="21"/>
      <c r="Z135" s="24"/>
      <c r="AA135" s="24"/>
      <c r="AB135" s="28"/>
      <c r="AC135" s="28"/>
      <c r="AD135" s="29"/>
      <c r="AE135" s="30"/>
      <c r="AH135" s="30"/>
    </row>
    <row r="136" spans="2:34" ht="12.75" customHeight="1">
      <c r="B136" s="64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65"/>
      <c r="O136" s="65"/>
      <c r="P136" s="65"/>
      <c r="Q136" s="65"/>
      <c r="R136" s="195"/>
      <c r="S136" s="195"/>
      <c r="T136" s="195"/>
      <c r="U136" s="195"/>
      <c r="V136" s="67"/>
      <c r="W136" s="25"/>
      <c r="X136" s="21"/>
      <c r="Y136" s="21"/>
      <c r="Z136" s="24"/>
      <c r="AA136" s="24"/>
      <c r="AB136" s="28"/>
      <c r="AC136" s="28"/>
      <c r="AD136" s="29"/>
      <c r="AE136" s="30"/>
      <c r="AH136" s="30"/>
    </row>
    <row r="137" spans="2:34" ht="12.75">
      <c r="B137" s="64"/>
      <c r="C137" s="72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195"/>
      <c r="S137" s="195"/>
      <c r="T137" s="195"/>
      <c r="U137" s="195"/>
      <c r="V137" s="67"/>
      <c r="W137" s="25"/>
      <c r="X137" s="21"/>
      <c r="Y137" s="21"/>
      <c r="Z137" s="24"/>
      <c r="AA137" s="24"/>
      <c r="AB137" s="28"/>
      <c r="AC137" s="28"/>
      <c r="AD137" s="29"/>
      <c r="AE137" s="30"/>
      <c r="AH137" s="30"/>
    </row>
    <row r="138" spans="2:34" ht="13.5" thickBot="1"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7"/>
      <c r="W138" s="25"/>
      <c r="X138" s="21"/>
      <c r="Y138" s="21"/>
      <c r="Z138" s="24"/>
      <c r="AA138" s="24"/>
      <c r="AB138" s="28"/>
      <c r="AC138" s="28"/>
      <c r="AD138" s="29"/>
      <c r="AE138" s="30"/>
      <c r="AH138" s="30"/>
    </row>
    <row r="139" spans="2:34" ht="13.5" thickBot="1">
      <c r="B139" s="78"/>
      <c r="C139" s="26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25"/>
      <c r="W139" s="25"/>
      <c r="X139" s="21"/>
      <c r="Y139" s="21"/>
      <c r="Z139" s="21"/>
      <c r="AA139" s="21"/>
      <c r="AB139" s="21"/>
      <c r="AC139" s="21"/>
      <c r="AD139" s="26"/>
      <c r="AE139" s="30"/>
      <c r="AH139" s="30"/>
    </row>
    <row r="140" spans="2:34" ht="12.75">
      <c r="B140" s="80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3" t="str">
        <f>CONCATENATE(D8,"-","SGRS Worksheet-",)</f>
        <v>-SGRS Worksheet-</v>
      </c>
      <c r="U140" s="82"/>
      <c r="V140" s="121"/>
      <c r="W140" s="25"/>
      <c r="X140" s="21"/>
      <c r="Y140" s="21"/>
      <c r="Z140" s="21"/>
      <c r="AA140" s="21"/>
      <c r="AB140" s="21"/>
      <c r="AC140" s="21"/>
      <c r="AD140" s="26"/>
      <c r="AE140" s="30"/>
      <c r="AH140" s="30"/>
    </row>
    <row r="141" spans="2:34" ht="12.75">
      <c r="B141" s="84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7"/>
      <c r="W141" s="25"/>
      <c r="X141" s="21"/>
      <c r="Y141" s="21"/>
      <c r="Z141" s="21"/>
      <c r="AA141" s="21"/>
      <c r="AB141" s="21"/>
      <c r="AC141" s="21"/>
      <c r="AD141" s="26"/>
      <c r="AE141" s="30"/>
      <c r="AH141" s="30"/>
    </row>
    <row r="142" spans="2:34" ht="12.75">
      <c r="B142" s="84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120"/>
      <c r="W142" s="25"/>
      <c r="X142" s="21"/>
      <c r="Y142" s="21"/>
      <c r="Z142" s="21"/>
      <c r="AA142" s="21"/>
      <c r="AB142" s="21"/>
      <c r="AC142" s="21"/>
      <c r="AD142" s="26"/>
      <c r="AE142" s="30"/>
      <c r="AH142" s="30"/>
    </row>
    <row r="143" spans="2:34" ht="12.75">
      <c r="B143" s="84"/>
      <c r="C143" s="85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7"/>
      <c r="W143" s="25"/>
      <c r="X143" s="21"/>
      <c r="Y143" s="21"/>
      <c r="Z143" s="21"/>
      <c r="AA143" s="21"/>
      <c r="AB143" s="21"/>
      <c r="AC143" s="21"/>
      <c r="AD143" s="26"/>
      <c r="AE143" s="30"/>
      <c r="AH143" s="30"/>
    </row>
    <row r="144" spans="2:34" ht="12.75">
      <c r="B144" s="84"/>
      <c r="C144" s="85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7"/>
      <c r="W144" s="25"/>
      <c r="X144" s="21"/>
      <c r="Y144" s="21"/>
      <c r="Z144" s="21"/>
      <c r="AA144" s="21"/>
      <c r="AB144" s="21"/>
      <c r="AC144" s="21"/>
      <c r="AD144" s="26"/>
      <c r="AE144" s="30"/>
      <c r="AH144" s="30"/>
    </row>
    <row r="145" spans="2:34" ht="12.75">
      <c r="B145" s="84"/>
      <c r="C145" s="8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7"/>
      <c r="W145" s="25"/>
      <c r="X145" s="21"/>
      <c r="Y145" s="21"/>
      <c r="Z145" s="21"/>
      <c r="AA145" s="21"/>
      <c r="AB145" s="21"/>
      <c r="AC145" s="21"/>
      <c r="AD145" s="26"/>
      <c r="AE145" s="30"/>
      <c r="AH145" s="30"/>
    </row>
    <row r="146" spans="2:34" ht="12.75">
      <c r="B146" s="84"/>
      <c r="C146" s="85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7"/>
      <c r="W146" s="25"/>
      <c r="X146" s="21"/>
      <c r="Y146" s="21"/>
      <c r="Z146" s="21"/>
      <c r="AA146" s="21"/>
      <c r="AB146" s="21"/>
      <c r="AC146" s="21"/>
      <c r="AD146" s="26"/>
      <c r="AE146" s="30"/>
      <c r="AH146" s="30"/>
    </row>
    <row r="147" spans="2:34" ht="12.75">
      <c r="B147" s="84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7"/>
      <c r="W147" s="25"/>
      <c r="X147" s="21"/>
      <c r="Y147" s="21"/>
      <c r="Z147" s="21"/>
      <c r="AA147" s="21"/>
      <c r="AB147" s="21"/>
      <c r="AC147" s="21"/>
      <c r="AD147" s="26"/>
      <c r="AE147" s="30"/>
      <c r="AH147" s="30"/>
    </row>
    <row r="148" spans="2:34" ht="12.75">
      <c r="B148" s="84"/>
      <c r="C148" s="85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7"/>
      <c r="W148" s="25"/>
      <c r="X148" s="21"/>
      <c r="Y148" s="21"/>
      <c r="Z148" s="21"/>
      <c r="AA148" s="21"/>
      <c r="AB148" s="21"/>
      <c r="AC148" s="21"/>
      <c r="AD148" s="26"/>
      <c r="AE148" s="30"/>
      <c r="AH148" s="30"/>
    </row>
    <row r="149" spans="2:34" ht="13.5" thickBot="1">
      <c r="B149" s="88"/>
      <c r="C149" s="89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1"/>
      <c r="W149" s="25"/>
      <c r="X149" s="21"/>
      <c r="Y149" s="21"/>
      <c r="Z149" s="21"/>
      <c r="AA149" s="21"/>
      <c r="AB149" s="21"/>
      <c r="AC149" s="21"/>
      <c r="AD149" s="26"/>
      <c r="AE149" s="30"/>
      <c r="AH149" s="30"/>
    </row>
    <row r="150" spans="2:34" ht="12.75">
      <c r="B150" s="78"/>
      <c r="C150" s="26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25"/>
      <c r="W150" s="25"/>
      <c r="X150" s="21"/>
      <c r="Y150" s="21"/>
      <c r="Z150" s="21"/>
      <c r="AA150" s="21"/>
      <c r="AB150" s="21"/>
      <c r="AC150" s="21"/>
      <c r="AD150" s="26"/>
      <c r="AE150" s="30"/>
      <c r="AH150" s="30"/>
    </row>
    <row r="151" spans="2:34" ht="12.75" hidden="1">
      <c r="B151" s="78"/>
      <c r="C151" s="26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25"/>
      <c r="W151" s="25"/>
      <c r="X151" s="21"/>
      <c r="Y151" s="21"/>
      <c r="Z151" s="21"/>
      <c r="AA151" s="21"/>
      <c r="AB151" s="21"/>
      <c r="AC151" s="21"/>
      <c r="AD151" s="26"/>
      <c r="AE151" s="30"/>
      <c r="AH151" s="30"/>
    </row>
    <row r="152" spans="2:34" ht="12.75" hidden="1">
      <c r="B152" s="78"/>
      <c r="C152" s="22" t="s">
        <v>128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79"/>
      <c r="Q152" s="79"/>
      <c r="R152" s="79"/>
      <c r="S152" s="79"/>
      <c r="T152" s="79"/>
      <c r="U152" s="79"/>
      <c r="V152" s="25"/>
      <c r="W152" s="25"/>
      <c r="X152" s="21"/>
      <c r="Y152" s="21"/>
      <c r="Z152" s="21"/>
      <c r="AA152" s="21"/>
      <c r="AB152" s="21"/>
      <c r="AC152" s="21"/>
      <c r="AD152" s="26"/>
      <c r="AE152" s="30"/>
      <c r="AH152" s="30"/>
    </row>
    <row r="153" spans="2:34" ht="12.75" hidden="1">
      <c r="B153" s="78"/>
      <c r="C153" s="133" t="s">
        <v>284</v>
      </c>
      <c r="D153" s="21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79"/>
      <c r="Q153" s="79"/>
      <c r="R153" s="79"/>
      <c r="S153" s="79"/>
      <c r="T153" s="79"/>
      <c r="U153" s="79"/>
      <c r="V153" s="25"/>
      <c r="W153" s="25"/>
      <c r="X153" s="21"/>
      <c r="Y153" s="21"/>
      <c r="Z153" s="21"/>
      <c r="AA153" s="21"/>
      <c r="AB153" s="21"/>
      <c r="AC153" s="21"/>
      <c r="AD153" s="26"/>
      <c r="AE153" s="30"/>
      <c r="AH153" s="30"/>
    </row>
    <row r="154" spans="2:34" ht="12.75" hidden="1">
      <c r="B154" s="78"/>
      <c r="C154" s="133" t="s">
        <v>285</v>
      </c>
      <c r="D154" s="21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79"/>
      <c r="Q154" s="79"/>
      <c r="R154" s="79"/>
      <c r="S154" s="79"/>
      <c r="T154" s="79"/>
      <c r="U154" s="79"/>
      <c r="V154" s="25"/>
      <c r="W154" s="25"/>
      <c r="X154" s="21"/>
      <c r="Y154" s="21"/>
      <c r="Z154" s="21"/>
      <c r="AA154" s="21"/>
      <c r="AB154" s="21"/>
      <c r="AC154" s="21"/>
      <c r="AD154" s="26"/>
      <c r="AE154" s="30"/>
      <c r="AH154" s="30"/>
    </row>
    <row r="155" spans="2:34" ht="12.75" hidden="1">
      <c r="B155" s="78"/>
      <c r="C155" s="21" t="s">
        <v>271</v>
      </c>
      <c r="D155" s="21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79"/>
      <c r="Q155" s="79"/>
      <c r="R155" s="79"/>
      <c r="S155" s="79"/>
      <c r="T155" s="79"/>
      <c r="U155" s="79"/>
      <c r="V155" s="25"/>
      <c r="W155" s="25"/>
      <c r="X155" s="21"/>
      <c r="Y155" s="21"/>
      <c r="Z155" s="21"/>
      <c r="AA155" s="21"/>
      <c r="AB155" s="21"/>
      <c r="AC155" s="21"/>
      <c r="AD155" s="26"/>
      <c r="AE155" s="30"/>
      <c r="AH155" s="30"/>
    </row>
    <row r="156" spans="2:34" ht="12.75" hidden="1">
      <c r="B156" s="78"/>
      <c r="C156" s="21"/>
      <c r="D156" s="21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79"/>
      <c r="Q156" s="79"/>
      <c r="R156" s="79"/>
      <c r="S156" s="79"/>
      <c r="T156" s="79"/>
      <c r="U156" s="79"/>
      <c r="V156" s="25"/>
      <c r="W156" s="25"/>
      <c r="X156" s="21"/>
      <c r="Y156" s="21"/>
      <c r="Z156" s="21"/>
      <c r="AA156" s="21"/>
      <c r="AB156" s="21"/>
      <c r="AC156" s="21"/>
      <c r="AD156" s="26"/>
      <c r="AE156" s="30"/>
      <c r="AH156" s="30"/>
    </row>
    <row r="157" spans="2:34" ht="12.75" hidden="1">
      <c r="B157" s="78"/>
      <c r="C157" s="22" t="s">
        <v>129</v>
      </c>
      <c r="D157" s="21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79"/>
      <c r="Q157" s="79"/>
      <c r="R157" s="79"/>
      <c r="S157" s="79"/>
      <c r="T157" s="79"/>
      <c r="U157" s="79"/>
      <c r="V157" s="25"/>
      <c r="W157" s="25"/>
      <c r="X157" s="21"/>
      <c r="Y157" s="21"/>
      <c r="Z157" s="21"/>
      <c r="AA157" s="21"/>
      <c r="AB157" s="21"/>
      <c r="AC157" s="21"/>
      <c r="AD157" s="26"/>
      <c r="AE157" s="30"/>
      <c r="AH157" s="30"/>
    </row>
    <row r="158" spans="2:34" ht="12.75" hidden="1">
      <c r="B158" s="78"/>
      <c r="C158" s="21" t="s">
        <v>130</v>
      </c>
      <c r="D158" s="21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79"/>
      <c r="Q158" s="79"/>
      <c r="R158" s="79"/>
      <c r="S158" s="79"/>
      <c r="T158" s="79"/>
      <c r="U158" s="79"/>
      <c r="V158" s="25"/>
      <c r="W158" s="25"/>
      <c r="X158" s="21"/>
      <c r="Y158" s="21"/>
      <c r="Z158" s="21"/>
      <c r="AA158" s="21"/>
      <c r="AB158" s="21"/>
      <c r="AC158" s="21"/>
      <c r="AD158" s="26"/>
      <c r="AE158" s="30"/>
      <c r="AH158" s="30"/>
    </row>
    <row r="159" spans="2:34" ht="12.75" hidden="1">
      <c r="B159" s="78"/>
      <c r="C159" s="21" t="s">
        <v>131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79"/>
      <c r="Q159" s="79"/>
      <c r="R159" s="79"/>
      <c r="S159" s="79"/>
      <c r="T159" s="79"/>
      <c r="U159" s="79"/>
      <c r="V159" s="25"/>
      <c r="W159" s="25"/>
      <c r="X159" s="21"/>
      <c r="Y159" s="21"/>
      <c r="Z159" s="21"/>
      <c r="AA159" s="21"/>
      <c r="AB159" s="21"/>
      <c r="AC159" s="21"/>
      <c r="AD159" s="26"/>
      <c r="AE159" s="30"/>
      <c r="AH159" s="30"/>
    </row>
    <row r="160" spans="2:34" ht="12.75" hidden="1">
      <c r="B160" s="78"/>
      <c r="C160" s="21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79"/>
      <c r="Q160" s="79"/>
      <c r="R160" s="79"/>
      <c r="S160" s="79"/>
      <c r="T160" s="79"/>
      <c r="U160" s="79"/>
      <c r="V160" s="25"/>
      <c r="W160" s="25"/>
      <c r="X160" s="21"/>
      <c r="Y160" s="21"/>
      <c r="Z160" s="21"/>
      <c r="AA160" s="21"/>
      <c r="AB160" s="21"/>
      <c r="AC160" s="21"/>
      <c r="AD160" s="26"/>
      <c r="AE160" s="30"/>
      <c r="AH160" s="30"/>
    </row>
    <row r="161" spans="2:34" ht="12.75" hidden="1">
      <c r="B161" s="78"/>
      <c r="C161" s="22" t="s">
        <v>132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79"/>
      <c r="Q161" s="79"/>
      <c r="R161" s="79"/>
      <c r="S161" s="79"/>
      <c r="T161" s="79"/>
      <c r="U161" s="79"/>
      <c r="V161" s="25"/>
      <c r="W161" s="25"/>
      <c r="X161" s="21"/>
      <c r="Y161" s="21"/>
      <c r="Z161" s="21"/>
      <c r="AA161" s="21"/>
      <c r="AB161" s="21"/>
      <c r="AC161" s="21"/>
      <c r="AD161" s="26"/>
      <c r="AE161" s="30"/>
      <c r="AH161" s="30"/>
    </row>
    <row r="162" spans="2:34" ht="12.75" hidden="1">
      <c r="B162" s="78"/>
      <c r="C162" s="21" t="s">
        <v>133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79"/>
      <c r="Q162" s="79"/>
      <c r="R162" s="79"/>
      <c r="S162" s="79"/>
      <c r="T162" s="79"/>
      <c r="U162" s="79"/>
      <c r="V162" s="25"/>
      <c r="W162" s="25"/>
      <c r="X162" s="21"/>
      <c r="Y162" s="21"/>
      <c r="Z162" s="21"/>
      <c r="AA162" s="21"/>
      <c r="AB162" s="21"/>
      <c r="AC162" s="21"/>
      <c r="AD162" s="26"/>
      <c r="AE162" s="30"/>
      <c r="AH162" s="30"/>
    </row>
    <row r="163" spans="2:34" ht="12.75" hidden="1">
      <c r="B163" s="78"/>
      <c r="C163" s="21" t="s">
        <v>134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79"/>
      <c r="Q163" s="79"/>
      <c r="R163" s="79"/>
      <c r="S163" s="79"/>
      <c r="T163" s="79"/>
      <c r="U163" s="79"/>
      <c r="V163" s="25"/>
      <c r="W163" s="25"/>
      <c r="X163" s="21"/>
      <c r="Y163" s="21"/>
      <c r="Z163" s="21"/>
      <c r="AA163" s="21"/>
      <c r="AB163" s="21"/>
      <c r="AC163" s="21"/>
      <c r="AD163" s="26"/>
      <c r="AE163" s="30"/>
      <c r="AH163" s="30"/>
    </row>
    <row r="164" spans="2:34" ht="12.75" hidden="1">
      <c r="B164" s="78"/>
      <c r="C164" s="21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79"/>
      <c r="Q164" s="79"/>
      <c r="R164" s="79"/>
      <c r="S164" s="79"/>
      <c r="T164" s="79"/>
      <c r="U164" s="79"/>
      <c r="V164" s="25"/>
      <c r="W164" s="25"/>
      <c r="X164" s="21"/>
      <c r="Y164" s="21"/>
      <c r="Z164" s="21"/>
      <c r="AA164" s="21"/>
      <c r="AB164" s="21"/>
      <c r="AC164" s="21"/>
      <c r="AD164" s="26"/>
      <c r="AE164" s="30"/>
      <c r="AH164" s="30"/>
    </row>
    <row r="165" spans="2:34" ht="12.75" hidden="1">
      <c r="B165" s="78"/>
      <c r="C165" s="22" t="s">
        <v>135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79"/>
      <c r="Q165" s="79"/>
      <c r="R165" s="79"/>
      <c r="S165" s="79"/>
      <c r="T165" s="79"/>
      <c r="U165" s="79"/>
      <c r="V165" s="25"/>
      <c r="W165" s="25"/>
      <c r="X165" s="21"/>
      <c r="Y165" s="21"/>
      <c r="Z165" s="21"/>
      <c r="AA165" s="21"/>
      <c r="AB165" s="21"/>
      <c r="AC165" s="21"/>
      <c r="AD165" s="26"/>
      <c r="AE165" s="30"/>
      <c r="AH165" s="30"/>
    </row>
    <row r="166" spans="2:34" ht="12.75" hidden="1">
      <c r="B166" s="78"/>
      <c r="C166" s="21" t="s">
        <v>136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79"/>
      <c r="Q166" s="79"/>
      <c r="R166" s="79"/>
      <c r="S166" s="79"/>
      <c r="T166" s="79"/>
      <c r="U166" s="79"/>
      <c r="V166" s="25"/>
      <c r="W166" s="25"/>
      <c r="X166" s="21"/>
      <c r="Y166" s="21"/>
      <c r="Z166" s="21"/>
      <c r="AA166" s="21"/>
      <c r="AB166" s="21"/>
      <c r="AC166" s="21"/>
      <c r="AD166" s="26"/>
      <c r="AE166" s="30"/>
      <c r="AH166" s="30"/>
    </row>
    <row r="167" spans="2:34" ht="12.75" hidden="1">
      <c r="B167" s="78"/>
      <c r="C167" s="21" t="s">
        <v>165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79"/>
      <c r="Q167" s="79"/>
      <c r="R167" s="79"/>
      <c r="S167" s="79"/>
      <c r="T167" s="79"/>
      <c r="U167" s="79"/>
      <c r="V167" s="25"/>
      <c r="W167" s="25"/>
      <c r="X167" s="21"/>
      <c r="Y167" s="21"/>
      <c r="Z167" s="21"/>
      <c r="AA167" s="21"/>
      <c r="AB167" s="21"/>
      <c r="AC167" s="21"/>
      <c r="AD167" s="26"/>
      <c r="AE167" s="30"/>
      <c r="AH167" s="30"/>
    </row>
    <row r="168" spans="2:34" ht="12.75" hidden="1">
      <c r="B168" s="78"/>
      <c r="C168" s="21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79"/>
      <c r="Q168" s="79"/>
      <c r="R168" s="79"/>
      <c r="S168" s="79"/>
      <c r="T168" s="79"/>
      <c r="U168" s="79"/>
      <c r="V168" s="25"/>
      <c r="W168" s="25"/>
      <c r="X168" s="21"/>
      <c r="Y168" s="21"/>
      <c r="Z168" s="21"/>
      <c r="AA168" s="21"/>
      <c r="AB168" s="21"/>
      <c r="AC168" s="21"/>
      <c r="AD168" s="26"/>
      <c r="AE168" s="30"/>
      <c r="AH168" s="30"/>
    </row>
    <row r="169" spans="2:34" ht="12.75" hidden="1">
      <c r="B169" s="78"/>
      <c r="C169" s="22" t="s">
        <v>249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79"/>
      <c r="Q169" s="79"/>
      <c r="R169" s="79"/>
      <c r="S169" s="79"/>
      <c r="T169" s="79"/>
      <c r="U169" s="79"/>
      <c r="V169" s="25"/>
      <c r="W169" s="25"/>
      <c r="X169" s="21"/>
      <c r="Y169" s="21"/>
      <c r="Z169" s="21"/>
      <c r="AA169" s="21"/>
      <c r="AB169" s="21"/>
      <c r="AC169" s="21"/>
      <c r="AD169" s="26"/>
      <c r="AE169" s="30"/>
      <c r="AH169" s="30"/>
    </row>
    <row r="170" spans="2:34" ht="12.75" hidden="1">
      <c r="B170" s="78"/>
      <c r="C170" s="103">
        <v>600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79"/>
      <c r="Q170" s="79"/>
      <c r="R170" s="79"/>
      <c r="S170" s="79"/>
      <c r="T170" s="79"/>
      <c r="U170" s="79"/>
      <c r="V170" s="25"/>
      <c r="W170" s="25"/>
      <c r="X170" s="21"/>
      <c r="Y170" s="21"/>
      <c r="Z170" s="21"/>
      <c r="AA170" s="21"/>
      <c r="AB170" s="21"/>
      <c r="AC170" s="21"/>
      <c r="AD170" s="26"/>
      <c r="AE170" s="30"/>
      <c r="AH170" s="30"/>
    </row>
    <row r="171" spans="2:34" ht="12.75" hidden="1">
      <c r="B171" s="78"/>
      <c r="C171" s="103">
        <v>800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79"/>
      <c r="Q171" s="79"/>
      <c r="R171" s="79"/>
      <c r="S171" s="79"/>
      <c r="T171" s="79"/>
      <c r="U171" s="79"/>
      <c r="V171" s="25"/>
      <c r="W171" s="25"/>
      <c r="X171" s="21"/>
      <c r="Y171" s="21"/>
      <c r="Z171" s="21"/>
      <c r="AA171" s="21"/>
      <c r="AB171" s="21"/>
      <c r="AC171" s="21"/>
      <c r="AD171" s="26"/>
      <c r="AE171" s="30"/>
      <c r="AH171" s="30"/>
    </row>
    <row r="172" spans="2:34" ht="12.75" hidden="1">
      <c r="B172" s="78"/>
      <c r="C172" s="21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79"/>
      <c r="Q172" s="79"/>
      <c r="R172" s="79"/>
      <c r="S172" s="79"/>
      <c r="T172" s="79"/>
      <c r="U172" s="79"/>
      <c r="V172" s="25"/>
      <c r="W172" s="25"/>
      <c r="X172" s="21"/>
      <c r="Y172" s="21"/>
      <c r="Z172" s="21"/>
      <c r="AA172" s="21"/>
      <c r="AB172" s="21"/>
      <c r="AC172" s="21"/>
      <c r="AD172" s="26"/>
      <c r="AE172" s="30"/>
      <c r="AH172" s="30"/>
    </row>
    <row r="173" spans="2:34" ht="12.75" hidden="1">
      <c r="B173" s="78"/>
      <c r="C173" s="22" t="s">
        <v>250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79"/>
      <c r="Q173" s="79"/>
      <c r="R173" s="79"/>
      <c r="S173" s="79"/>
      <c r="T173" s="79"/>
      <c r="U173" s="79"/>
      <c r="V173" s="25"/>
      <c r="W173" s="25"/>
      <c r="X173" s="21"/>
      <c r="Y173" s="21"/>
      <c r="Z173" s="21"/>
      <c r="AA173" s="21"/>
      <c r="AB173" s="21"/>
      <c r="AC173" s="21"/>
      <c r="AD173" s="26"/>
      <c r="AE173" s="30"/>
      <c r="AH173" s="30"/>
    </row>
    <row r="174" spans="3:15" ht="12.75" hidden="1">
      <c r="C174" s="21" t="s">
        <v>264</v>
      </c>
      <c r="D174" s="92">
        <v>1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3:15" ht="12.75" hidden="1">
      <c r="C175" s="93" t="s">
        <v>251</v>
      </c>
      <c r="D175" s="92">
        <v>2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3:15" ht="12.75" hidden="1">
      <c r="C176" s="134" t="s">
        <v>286</v>
      </c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3:15" ht="12.75" hidden="1">
      <c r="C177" s="93" t="s">
        <v>252</v>
      </c>
      <c r="D177" s="92">
        <v>3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3:15" ht="12.75" hidden="1">
      <c r="C178" s="93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3:15" ht="12.75" hidden="1">
      <c r="C179" s="94" t="s">
        <v>168</v>
      </c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3:15" ht="12.75" hidden="1">
      <c r="C180" s="93" t="s">
        <v>171</v>
      </c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3:15" ht="12.75" hidden="1">
      <c r="C181" s="93" t="s">
        <v>137</v>
      </c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3:15" ht="12.75" hidden="1">
      <c r="C182" s="93" t="s">
        <v>138</v>
      </c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3:15" ht="12.75" hidden="1">
      <c r="C183" s="93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3:15" ht="12.75" hidden="1">
      <c r="C184" s="94" t="s">
        <v>169</v>
      </c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3:15" ht="12.75" hidden="1">
      <c r="C185" s="95" t="s">
        <v>170</v>
      </c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3:15" ht="12.75" hidden="1">
      <c r="C186" s="95" t="s">
        <v>172</v>
      </c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3:15" ht="12.75" hidden="1">
      <c r="C187" s="93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3:15" ht="12.75" hidden="1">
      <c r="C188" s="94" t="s">
        <v>139</v>
      </c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3:15" ht="12.75" hidden="1">
      <c r="C189" s="93" t="s">
        <v>177</v>
      </c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3:15" ht="12.75" hidden="1">
      <c r="C190" s="93" t="s">
        <v>141</v>
      </c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3:23" s="98" customFormat="1" ht="12.75" hidden="1">
      <c r="C191" s="95" t="s">
        <v>142</v>
      </c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7"/>
      <c r="R191" s="97"/>
      <c r="W191" s="99"/>
    </row>
    <row r="192" spans="3:15" ht="12.75" hidden="1">
      <c r="C192" s="93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3:15" ht="12.75" hidden="1">
      <c r="C193" s="94" t="s">
        <v>143</v>
      </c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3:15" ht="12.75" hidden="1">
      <c r="C194" s="93" t="s">
        <v>144</v>
      </c>
      <c r="D194" s="92"/>
      <c r="E194" s="93"/>
      <c r="F194" s="93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3:15" ht="12.75" hidden="1">
      <c r="C195" s="93" t="s">
        <v>145</v>
      </c>
      <c r="D195" s="92"/>
      <c r="E195" s="93"/>
      <c r="F195" s="93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3:15" ht="12.75" hidden="1">
      <c r="C196" s="93"/>
      <c r="D196" s="92"/>
      <c r="E196" s="93"/>
      <c r="F196" s="93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3:15" ht="12.75" hidden="1">
      <c r="C197" s="94" t="s">
        <v>146</v>
      </c>
      <c r="D197" s="92"/>
      <c r="E197" s="93"/>
      <c r="F197" s="93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3:15" ht="12.75" hidden="1">
      <c r="C198" s="93" t="s">
        <v>178</v>
      </c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3:15" ht="12.75" hidden="1">
      <c r="C199" s="93" t="s">
        <v>148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3:15" ht="12.75" hidden="1">
      <c r="C200" s="134" t="s">
        <v>287</v>
      </c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3:15" ht="12.75" hidden="1">
      <c r="C201" s="93" t="s">
        <v>147</v>
      </c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3:15" ht="12.75" hidden="1">
      <c r="C202" s="93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3:15" ht="12.75" hidden="1">
      <c r="C203" s="94" t="s">
        <v>179</v>
      </c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3:15" ht="12.75" hidden="1">
      <c r="C204" s="93" t="s">
        <v>140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3:15" ht="12.75" hidden="1">
      <c r="C205" s="93" t="s">
        <v>149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3:15" ht="12.75" hidden="1">
      <c r="C206" s="93" t="s">
        <v>150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3:15" ht="12.75" hidden="1">
      <c r="C207" s="93" t="s">
        <v>151</v>
      </c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3:15" ht="12.75" hidden="1">
      <c r="C208" s="93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3:15" ht="12.75" hidden="1">
      <c r="C209" s="94" t="s">
        <v>190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3:15" ht="12.75" hidden="1">
      <c r="C210" s="93" t="s">
        <v>195</v>
      </c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3:15" ht="12.75" hidden="1">
      <c r="C211" s="93" t="s">
        <v>191</v>
      </c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3:15" ht="12.75" hidden="1">
      <c r="C212" s="93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3:15" ht="12.75" hidden="1">
      <c r="C213" s="94" t="s">
        <v>180</v>
      </c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3:15" ht="12.75" hidden="1">
      <c r="C214" s="93" t="s">
        <v>177</v>
      </c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3:15" ht="12.75" hidden="1">
      <c r="C215" s="93" t="s">
        <v>181</v>
      </c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3:15" ht="12.75" hidden="1">
      <c r="C216" s="93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3:15" ht="12.75" hidden="1">
      <c r="C217" s="94" t="s">
        <v>207</v>
      </c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3:15" ht="12.75" hidden="1">
      <c r="C218" s="93" t="s">
        <v>195</v>
      </c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3:15" ht="12.75" hidden="1">
      <c r="C219" s="93" t="s">
        <v>193</v>
      </c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3:15" ht="12.75" hidden="1">
      <c r="C220" s="93" t="s">
        <v>194</v>
      </c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3:15" ht="12.75" hidden="1">
      <c r="C221" s="93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3:15" ht="12.75" hidden="1">
      <c r="C222" s="94" t="s">
        <v>152</v>
      </c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3:15" ht="12.75" hidden="1">
      <c r="C223" s="93" t="s">
        <v>195</v>
      </c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3:15" ht="12.75" hidden="1">
      <c r="C224" s="93" t="s">
        <v>196</v>
      </c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3:15" ht="12.75" hidden="1">
      <c r="C225" s="93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3:15" ht="12.75" hidden="1">
      <c r="C226" s="100" t="s">
        <v>153</v>
      </c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3:15" ht="12.75" hidden="1">
      <c r="C227" s="18" t="s">
        <v>195</v>
      </c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3:15" ht="12.75" hidden="1">
      <c r="C228" s="18" t="s">
        <v>154</v>
      </c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3:15" ht="12.75" hidden="1">
      <c r="C229" s="18" t="s">
        <v>155</v>
      </c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3:15" ht="12.75" hidden="1">
      <c r="C230" s="18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3:15" ht="12.75" hidden="1">
      <c r="C231" s="101" t="s">
        <v>156</v>
      </c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3:15" ht="12.75" hidden="1">
      <c r="C232" s="102" t="s">
        <v>195</v>
      </c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3:15" ht="12.75" hidden="1">
      <c r="C233" s="102" t="s">
        <v>209</v>
      </c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3:15" ht="12.75" hidden="1">
      <c r="C234" s="102" t="s">
        <v>210</v>
      </c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3:15" ht="12.75" hidden="1">
      <c r="C235" s="10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3:15" ht="12.75" hidden="1">
      <c r="C236" s="101" t="s">
        <v>208</v>
      </c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3:15" ht="12.75" hidden="1">
      <c r="C237" s="102" t="s">
        <v>195</v>
      </c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3:15" ht="12.75" hidden="1">
      <c r="C238" s="102" t="s">
        <v>211</v>
      </c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3:15" ht="12.75" hidden="1">
      <c r="C239" s="10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3:15" ht="12.75" hidden="1">
      <c r="C240" s="101" t="s">
        <v>157</v>
      </c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3:15" ht="12.75" hidden="1">
      <c r="C241" s="102" t="s">
        <v>195</v>
      </c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3:15" ht="12.75" hidden="1">
      <c r="C242" s="135" t="s">
        <v>288</v>
      </c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3:15" ht="12.75" hidden="1">
      <c r="C243" s="135" t="s">
        <v>289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3:15" ht="12.75" hidden="1">
      <c r="C244" s="102" t="s">
        <v>158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3:15" ht="12.75" hidden="1">
      <c r="C245" s="18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3:15" ht="12.75" hidden="1">
      <c r="C246" s="101" t="s">
        <v>159</v>
      </c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3:15" ht="12.75" hidden="1">
      <c r="C247" s="102" t="s">
        <v>195</v>
      </c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3:15" ht="12.75" hidden="1">
      <c r="C248" s="102" t="s">
        <v>160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3:15" ht="12.75" hidden="1">
      <c r="C249" s="18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3:15" ht="12.75" hidden="1">
      <c r="C250" s="100" t="s">
        <v>223</v>
      </c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3:15" ht="12.75" hidden="1">
      <c r="C251" s="18" t="s">
        <v>195</v>
      </c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3:15" ht="12.75" hidden="1">
      <c r="C252" s="18" t="s">
        <v>224</v>
      </c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3:15" ht="12.75" hidden="1">
      <c r="C253" s="18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3:15" ht="12.75" hidden="1">
      <c r="C254" s="100" t="s">
        <v>225</v>
      </c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3:15" ht="12.75" hidden="1">
      <c r="C255" s="18" t="s">
        <v>226</v>
      </c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3:15" ht="12.75" hidden="1">
      <c r="C256" s="107" t="s">
        <v>290</v>
      </c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3:15" ht="12.75" hidden="1">
      <c r="C257" s="103" t="s">
        <v>227</v>
      </c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3:15" ht="12.75" hidden="1">
      <c r="C258" s="103" t="s">
        <v>228</v>
      </c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3:15" ht="12.75" hidden="1">
      <c r="C259" s="18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3:15" ht="12.75" hidden="1">
      <c r="C260" s="106" t="s">
        <v>237</v>
      </c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3:15" ht="12.75" hidden="1">
      <c r="C261" s="107" t="s">
        <v>242</v>
      </c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3:15" ht="12.75" hidden="1">
      <c r="C262" s="103" t="s">
        <v>229</v>
      </c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3:15" ht="12.75" hidden="1">
      <c r="C263" s="103" t="s">
        <v>230</v>
      </c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3:15" ht="12.75" hidden="1">
      <c r="C264" s="103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3:15" ht="12.75" hidden="1">
      <c r="C265" s="106" t="s">
        <v>238</v>
      </c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3:15" ht="12.75" hidden="1">
      <c r="C266" s="107" t="s">
        <v>140</v>
      </c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3:15" ht="12.75" hidden="1">
      <c r="C267" s="103" t="s">
        <v>231</v>
      </c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3:15" ht="12.75" hidden="1">
      <c r="C268" s="103" t="s">
        <v>232</v>
      </c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3:15" ht="12.75" hidden="1">
      <c r="C269" s="103" t="s">
        <v>233</v>
      </c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3:15" ht="12.75" hidden="1">
      <c r="C270" s="103" t="s">
        <v>234</v>
      </c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3:15" ht="12.75" hidden="1">
      <c r="C271" s="103" t="s">
        <v>235</v>
      </c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3:15" ht="12.75" hidden="1">
      <c r="C272" s="103" t="s">
        <v>236</v>
      </c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3:15" ht="12.75" hidden="1">
      <c r="C273" s="18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3:15" ht="12.75" hidden="1">
      <c r="C274" s="106" t="s">
        <v>239</v>
      </c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3:15" ht="12.75" hidden="1">
      <c r="C275" s="103" t="s">
        <v>241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3:15" ht="12.75" hidden="1">
      <c r="C276" s="103" t="s">
        <v>240</v>
      </c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3:15" ht="12.75" hidden="1">
      <c r="C277" s="18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3:15" ht="12.75">
      <c r="C278" s="18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3:15" ht="12.75">
      <c r="C279" s="18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3:15" ht="12.75">
      <c r="C280" s="18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3:15" ht="12.75">
      <c r="C281" s="18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3:15" ht="12.75">
      <c r="C282" s="18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3:15" ht="12.75">
      <c r="C283" s="18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3:15" ht="12.75">
      <c r="C284" s="18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3:15" ht="12.75">
      <c r="C285" s="18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3:15" ht="12.75">
      <c r="C286" s="18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3:15" ht="12.75">
      <c r="C287" s="18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3:15" ht="12.75">
      <c r="C288" s="18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3:15" ht="12.75">
      <c r="C289" s="18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3:15" ht="12.75">
      <c r="C290" s="18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3:15" ht="12" customHeight="1">
      <c r="C291" s="18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3:15" ht="12.75">
      <c r="C292" s="18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3:15" ht="12.75">
      <c r="C293" s="18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3:15" ht="12.75">
      <c r="C294" s="18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3:15" ht="12.75">
      <c r="C295" s="18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3:15" ht="12.75">
      <c r="C296" s="18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3:15" ht="12.75">
      <c r="C297" s="18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3:15" ht="12.75">
      <c r="C298" s="18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3:15" ht="12.75">
      <c r="C299" s="18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3:15" ht="12.75">
      <c r="C300" s="18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3:15" ht="12.75">
      <c r="C301" s="18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3:15" ht="12.75">
      <c r="C302" s="18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3:15" ht="12.75">
      <c r="C303" s="18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3:15" ht="12.75">
      <c r="C304" s="18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3:15" ht="12.75">
      <c r="C305" s="18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3:15" ht="12.75">
      <c r="C306" s="18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3:15" ht="12.75">
      <c r="C307" s="18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3:15" ht="12.75">
      <c r="C308" s="18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3:15" ht="12.75">
      <c r="C309" s="103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3:15" ht="12.75">
      <c r="C310" s="103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3:15" ht="12.75">
      <c r="C311" s="103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3:15" ht="12.75">
      <c r="C312" s="103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3:15" ht="12.75">
      <c r="C313" s="103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3:15" ht="12.75">
      <c r="C314" s="103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3:15" ht="12.75">
      <c r="C315" s="103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3:15" ht="12.75">
      <c r="C316" s="103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3:15" ht="12.75">
      <c r="C317" s="103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3:15" ht="12.75">
      <c r="C318" s="103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3:15" ht="12.75">
      <c r="C319" s="103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3:15" ht="12.75">
      <c r="C320" s="103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3:15" ht="12.75">
      <c r="C321" s="103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3:15" ht="12.75">
      <c r="C322" s="103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3:15" ht="12.75">
      <c r="C323" s="103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3:15" ht="12.75">
      <c r="C324" s="103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3:15" ht="12.75">
      <c r="C325" s="103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3:15" ht="12.75">
      <c r="C326" s="103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3:15" ht="12.75">
      <c r="C327" s="103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3:15" ht="12.75">
      <c r="C328" s="103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3:15" ht="12.75">
      <c r="C329" s="103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3:15" ht="12.75">
      <c r="C330" s="103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3:15" ht="12.75">
      <c r="C331" s="103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3:15" ht="12.75">
      <c r="C332" s="103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3:15" ht="12.75">
      <c r="C333" s="103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3:15" ht="12.75">
      <c r="C334" s="103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3:15" ht="12.75">
      <c r="C335" s="103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3:15" ht="12.75">
      <c r="C336" s="103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3:15" ht="12.75">
      <c r="C337" s="103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3:15" ht="12.75">
      <c r="C338" s="103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3:15" ht="12.75">
      <c r="C339" s="103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3:15" ht="12.75">
      <c r="C340" s="103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3:15" ht="12.75">
      <c r="C341" s="103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3:15" ht="12.75">
      <c r="C342" s="103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3:15" ht="12.75">
      <c r="C343" s="103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3:15" ht="12.75">
      <c r="C344" s="103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3:15" ht="12.75">
      <c r="C345" s="103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3:15" ht="12.75">
      <c r="C346" s="18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3:15" ht="12.75">
      <c r="C347" s="18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3:15" ht="12.75">
      <c r="C348" s="18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3:15" ht="12.75">
      <c r="C349" s="18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3:15" ht="12.75">
      <c r="C350" s="18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3:15" ht="12.75">
      <c r="C351" s="18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3:15" ht="12.75">
      <c r="C352" s="18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3:15" ht="12.75">
      <c r="C353" s="18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3:15" ht="12.75">
      <c r="C354" s="18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3:15" ht="12.75">
      <c r="C355" s="18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3:15" ht="12.75">
      <c r="C356" s="18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3:15" ht="12.75">
      <c r="C357" s="18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3:15" ht="12.75">
      <c r="C358" s="18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3:15" ht="12.75">
      <c r="C359" s="18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3:15" ht="12.75">
      <c r="C360" s="18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3:15" ht="12.75">
      <c r="C361" s="18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3:15" ht="12.75">
      <c r="C362" s="18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3:15" ht="12.75">
      <c r="C363" s="18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</row>
    <row r="364" spans="3:15" ht="12.75">
      <c r="C364" s="18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</row>
    <row r="365" spans="3:15" ht="12.75">
      <c r="C365" s="18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</row>
    <row r="366" spans="3:15" ht="12.75">
      <c r="C366" s="18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</row>
    <row r="367" spans="3:15" ht="12.75">
      <c r="C367" s="18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</row>
    <row r="368" spans="3:15" ht="12.75">
      <c r="C368" s="18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</row>
    <row r="369" spans="3:15" ht="12.75">
      <c r="C369" s="18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</row>
    <row r="370" spans="3:15" ht="12.75">
      <c r="C370" s="18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</row>
    <row r="371" spans="3:15" ht="12.75">
      <c r="C371" s="18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</row>
    <row r="372" spans="3:15" ht="12.75">
      <c r="C372" s="18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</row>
    <row r="373" spans="3:15" ht="12.75">
      <c r="C373" s="18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</row>
    <row r="374" spans="3:15" ht="12.75">
      <c r="C374" s="18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</row>
    <row r="375" spans="3:15" ht="12.75">
      <c r="C375" s="18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</row>
    <row r="376" spans="3:15" ht="12.75">
      <c r="C376" s="18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</row>
    <row r="377" spans="3:15" ht="12.75">
      <c r="C377" s="18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</row>
    <row r="378" spans="3:15" ht="12.75">
      <c r="C378" s="18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</row>
    <row r="379" spans="3:15" ht="12.75">
      <c r="C379" s="18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</row>
    <row r="380" spans="3:15" ht="12.75">
      <c r="C380" s="18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</row>
    <row r="381" spans="3:15" ht="12.75">
      <c r="C381" s="18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</row>
    <row r="382" spans="3:15" ht="12.75">
      <c r="C382" s="18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</row>
    <row r="383" spans="3:15" ht="12.75">
      <c r="C383" s="18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</row>
    <row r="384" spans="3:15" ht="12.75">
      <c r="C384" s="18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</row>
    <row r="385" spans="3:15" ht="12.75">
      <c r="C385" s="18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</row>
    <row r="386" spans="3:15" ht="12.75">
      <c r="C386" s="18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</row>
    <row r="387" spans="3:15" ht="12.75">
      <c r="C387" s="18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</row>
    <row r="388" spans="3:15" ht="12.75">
      <c r="C388" s="18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</row>
    <row r="389" spans="3:15" ht="12.75">
      <c r="C389" s="18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</row>
    <row r="390" spans="3:15" ht="12.75">
      <c r="C390" s="18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</row>
    <row r="391" spans="3:15" ht="12.75">
      <c r="C391" s="18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</row>
    <row r="392" spans="3:15" ht="12.75">
      <c r="C392" s="18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</row>
    <row r="393" spans="3:15" ht="12.75">
      <c r="C393" s="18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</row>
    <row r="394" spans="3:15" ht="12.75">
      <c r="C394" s="18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</row>
    <row r="395" spans="3:15" ht="12.75">
      <c r="C395" s="18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</row>
    <row r="396" spans="3:15" ht="12.75">
      <c r="C396" s="18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</row>
    <row r="397" spans="3:15" ht="12.75">
      <c r="C397" s="18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</row>
    <row r="398" spans="3:15" ht="12.75">
      <c r="C398" s="18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</row>
    <row r="399" spans="3:15" ht="12.75">
      <c r="C399" s="18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</row>
    <row r="400" spans="3:15" ht="12.75">
      <c r="C400" s="18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</row>
    <row r="401" spans="3:15" ht="12.75">
      <c r="C401" s="18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</row>
    <row r="402" spans="3:15" ht="12.75">
      <c r="C402" s="18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</row>
    <row r="403" spans="3:15" ht="12.75">
      <c r="C403" s="18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</row>
    <row r="404" spans="3:15" ht="12.75">
      <c r="C404" s="18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</row>
    <row r="405" spans="3:15" ht="12.75">
      <c r="C405" s="18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</row>
    <row r="406" spans="3:15" ht="12.75">
      <c r="C406" s="18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</row>
    <row r="407" spans="3:15" ht="12.75">
      <c r="C407" s="18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</row>
    <row r="408" spans="3:15" ht="12.75">
      <c r="C408" s="18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</row>
    <row r="409" spans="3:15" ht="12.75">
      <c r="C409" s="18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</row>
    <row r="410" spans="3:15" ht="12.75">
      <c r="C410" s="18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</row>
    <row r="411" spans="3:15" ht="12.75">
      <c r="C411" s="18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</row>
    <row r="412" spans="3:15" ht="12.75">
      <c r="C412" s="18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</row>
    <row r="413" spans="3:15" ht="12.75">
      <c r="C413" s="18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</row>
    <row r="414" spans="3:15" ht="12.75">
      <c r="C414" s="18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</row>
    <row r="415" spans="3:15" ht="12.75">
      <c r="C415" s="18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</row>
    <row r="416" spans="3:15" ht="12.75">
      <c r="C416" s="18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3:15" ht="12.75">
      <c r="C417" s="18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</row>
    <row r="418" spans="3:15" ht="12.75">
      <c r="C418" s="18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</row>
    <row r="419" spans="3:15" ht="12.75">
      <c r="C419" s="18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</row>
    <row r="420" spans="3:15" ht="12.75">
      <c r="C420" s="18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</row>
    <row r="421" spans="3:15" ht="12.75">
      <c r="C421" s="18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</row>
    <row r="422" spans="3:15" ht="12.75">
      <c r="C422" s="18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</row>
    <row r="423" spans="3:15" ht="12.75">
      <c r="C423" s="18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</row>
    <row r="424" spans="3:15" ht="12.75">
      <c r="C424" s="18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</row>
    <row r="425" spans="3:15" ht="12.75">
      <c r="C425" s="18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</row>
    <row r="426" spans="3:15" ht="12.75">
      <c r="C426" s="18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</row>
    <row r="427" spans="3:15" ht="12.75">
      <c r="C427" s="18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</row>
    <row r="428" spans="3:15" ht="12.75">
      <c r="C428" s="18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</row>
    <row r="429" spans="3:15" ht="12.75">
      <c r="C429" s="18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</row>
    <row r="430" spans="3:15" ht="12.75">
      <c r="C430" s="18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</row>
    <row r="431" spans="3:15" ht="12.75">
      <c r="C431" s="18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</row>
    <row r="432" spans="3:15" ht="12.75">
      <c r="C432" s="18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</row>
    <row r="433" spans="3:15" ht="12.75">
      <c r="C433" s="18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</row>
    <row r="434" spans="3:15" ht="12.75">
      <c r="C434" s="18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</row>
    <row r="435" spans="3:15" ht="12.75">
      <c r="C435" s="18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</row>
    <row r="436" spans="3:15" ht="12.75">
      <c r="C436" s="18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</row>
    <row r="437" spans="3:15" ht="12.75">
      <c r="C437" s="18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</row>
    <row r="438" spans="3:15" ht="12.75">
      <c r="C438" s="18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</row>
    <row r="439" spans="3:15" ht="12.75">
      <c r="C439" s="18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</row>
    <row r="440" spans="3:15" ht="12.75">
      <c r="C440" s="18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</row>
    <row r="441" spans="3:15" ht="12.75">
      <c r="C441" s="18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</row>
    <row r="442" spans="3:15" ht="12.75">
      <c r="C442" s="18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</row>
    <row r="443" spans="3:15" ht="12.75">
      <c r="C443" s="18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</row>
    <row r="444" spans="3:15" ht="12.75">
      <c r="C444" s="18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</row>
    <row r="445" spans="3:15" ht="12.75">
      <c r="C445" s="18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</row>
    <row r="446" spans="3:15" ht="12.75">
      <c r="C446" s="18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</row>
    <row r="447" spans="3:15" ht="12.75">
      <c r="C447" s="18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</row>
    <row r="448" spans="3:15" ht="12.75">
      <c r="C448" s="18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</row>
    <row r="449" spans="3:15" ht="12.75">
      <c r="C449" s="18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</row>
    <row r="450" spans="3:15" ht="12.75">
      <c r="C450" s="18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</row>
    <row r="451" spans="3:15" ht="12.75">
      <c r="C451" s="18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</row>
    <row r="452" spans="3:15" ht="12.75">
      <c r="C452" s="18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</row>
    <row r="453" spans="3:15" ht="12.75">
      <c r="C453" s="18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</row>
    <row r="454" spans="3:15" ht="12.75">
      <c r="C454" s="18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</row>
    <row r="455" spans="3:15" ht="12.75">
      <c r="C455" s="18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</row>
  </sheetData>
  <sheetProtection/>
  <mergeCells count="17">
    <mergeCell ref="E115:N115"/>
    <mergeCell ref="E117:N117"/>
    <mergeCell ref="E118:N118"/>
    <mergeCell ref="E132:I132"/>
    <mergeCell ref="D8:N8"/>
    <mergeCell ref="D9:N9"/>
    <mergeCell ref="E67:J67"/>
    <mergeCell ref="E69:J69"/>
    <mergeCell ref="G76:P76"/>
    <mergeCell ref="E112:N112"/>
    <mergeCell ref="G100:P100"/>
    <mergeCell ref="E57:J57"/>
    <mergeCell ref="E59:J59"/>
    <mergeCell ref="E61:J61"/>
    <mergeCell ref="E65:J65"/>
    <mergeCell ref="G84:P84"/>
    <mergeCell ref="G92:P92"/>
  </mergeCells>
  <conditionalFormatting sqref="R82 R90 R98 R106">
    <cfRule type="cellIs" priority="1" dxfId="2" operator="between" stopIfTrue="1">
      <formula>0.801</formula>
      <formula>0.899</formula>
    </cfRule>
    <cfRule type="cellIs" priority="2" dxfId="1" operator="greaterThan" stopIfTrue="1">
      <formula>0.9</formula>
    </cfRule>
    <cfRule type="cellIs" priority="3" dxfId="0" operator="between" stopIfTrue="1">
      <formula>0</formula>
      <formula>0.8</formula>
    </cfRule>
  </conditionalFormatting>
  <dataValidations count="24">
    <dataValidation type="list" allowBlank="1" showInputMessage="1" showErrorMessage="1" sqref="C128">
      <formula1>$C$251:$C$252</formula1>
    </dataValidation>
    <dataValidation type="list" allowBlank="1" showInputMessage="1" showErrorMessage="1" sqref="C134">
      <formula1>$C$275:$C$276</formula1>
    </dataValidation>
    <dataValidation type="list" allowBlank="1" showInputMessage="1" showErrorMessage="1" sqref="C130">
      <formula1>$C$255:$C$258</formula1>
    </dataValidation>
    <dataValidation type="list" allowBlank="1" showInputMessage="1" showErrorMessage="1" sqref="C118">
      <formula1>$C$237:$C$238</formula1>
    </dataValidation>
    <dataValidation type="list" allowBlank="1" showInputMessage="1" showErrorMessage="1" sqref="C112">
      <formula1>$C$227:$C$229</formula1>
    </dataValidation>
    <dataValidation type="list" allowBlank="1" showInputMessage="1" showErrorMessage="1" sqref="C115">
      <formula1>$C$232:$C$234</formula1>
    </dataValidation>
    <dataValidation type="list" allowBlank="1" showInputMessage="1" showErrorMessage="1" sqref="E112:O112">
      <formula1>$C$241:$C$244</formula1>
    </dataValidation>
    <dataValidation type="list" allowBlank="1" showInputMessage="1" showErrorMessage="1" sqref="E115:O115">
      <formula1>$C$247:$C$248</formula1>
    </dataValidation>
    <dataValidation type="list" allowBlank="1" showInputMessage="1" showErrorMessage="1" sqref="C132">
      <formula1>$C$261:$C$263</formula1>
    </dataValidation>
    <dataValidation type="list" allowBlank="1" showInputMessage="1" showErrorMessage="1" sqref="E132:J132">
      <formula1>$C$266:$C$272</formula1>
    </dataValidation>
    <dataValidation type="list" allowBlank="1" showInputMessage="1" showErrorMessage="1" sqref="C62">
      <formula1>$C$204:$C$207</formula1>
    </dataValidation>
    <dataValidation type="list" allowBlank="1" showInputMessage="1" showErrorMessage="1" sqref="C68">
      <formula1>$C$218:$C$220</formula1>
    </dataValidation>
    <dataValidation type="list" allowBlank="1" showInputMessage="1" showErrorMessage="1" sqref="C59">
      <formula1>$C$214:$C$215</formula1>
    </dataValidation>
    <dataValidation type="list" allowBlank="1" showInputMessage="1" showErrorMessage="1" sqref="C27">
      <formula1>$C$170:$C$171</formula1>
    </dataValidation>
    <dataValidation type="list" allowBlank="1" showInputMessage="1" showErrorMessage="1" sqref="C47">
      <formula1>$C$166:$C$167</formula1>
    </dataValidation>
    <dataValidation type="list" allowBlank="1" showInputMessage="1" showErrorMessage="1" sqref="C41">
      <formula1>$C$185:$C$186</formula1>
    </dataValidation>
    <dataValidation type="list" allowBlank="1" showInputMessage="1" showErrorMessage="1" sqref="C38">
      <formula1>$C$180:$C$182</formula1>
    </dataValidation>
    <dataValidation type="list" allowBlank="1" showInputMessage="1" showErrorMessage="1" sqref="C18">
      <formula1>$C$153:$C$155</formula1>
    </dataValidation>
    <dataValidation type="list" allowBlank="1" showInputMessage="1" showErrorMessage="1" sqref="C24">
      <formula1>$C$162:$C$163</formula1>
    </dataValidation>
    <dataValidation type="list" allowBlank="1" showInputMessage="1" showErrorMessage="1" sqref="C44">
      <formula1>$C$189:$C$191</formula1>
    </dataValidation>
    <dataValidation type="list" allowBlank="1" showInputMessage="1" showErrorMessage="1" sqref="C56">
      <formula1>$C$198:$C$201</formula1>
    </dataValidation>
    <dataValidation type="list" allowBlank="1" showInputMessage="1" showErrorMessage="1" sqref="C65">
      <formula1>$C$210:$C$211</formula1>
    </dataValidation>
    <dataValidation type="list" allowBlank="1" showInputMessage="1" showErrorMessage="1" sqref="E67:J67 E65:J65 E61:J61 E57:J57 E59:J59 E69:J69">
      <formula1>$C$223:$C$224</formula1>
    </dataValidation>
    <dataValidation type="list" allowBlank="1" showInputMessage="1" showErrorMessage="1" sqref="C30">
      <formula1>$C$174:$C$177</formula1>
    </dataValidation>
  </dataValidations>
  <printOptions horizontalCentered="1"/>
  <pageMargins left="0.5" right="0.5" top="0.25" bottom="0.25" header="0.25" footer="0.25"/>
  <pageSetup fitToHeight="2" horizontalDpi="600" verticalDpi="600" orientation="portrait" scale="53" r:id="rId3"/>
  <headerFooter alignWithMargins="0">
    <oddFooter>&amp;L&amp;"Arial,Bold"ADB Confidential&amp;C&amp;D&amp;RPage &amp;P</oddFooter>
  </headerFooter>
  <rowBreaks count="1" manualBreakCount="1">
    <brk id="107" max="21" man="1"/>
  </rowBreaks>
  <ignoredErrors>
    <ignoredError sqref="N80:P80 N88:N93 K88:K93 G88:G93 G103:G104 I88:I93 J88:J93 L88:L93 O88:O93 P88:P93 G95:G101 I95:I101 J95:J101 K95:K101 L95:L101 N95:N101 O95:O101 P95:P101 N103:P104 G80 I103:L104 I80:L80" formulaRang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L125"/>
  <sheetViews>
    <sheetView zoomScalePageLayoutView="0" workbookViewId="0" topLeftCell="A10">
      <selection activeCell="B33" sqref="B33"/>
    </sheetView>
  </sheetViews>
  <sheetFormatPr defaultColWidth="9.140625" defaultRowHeight="12.75"/>
  <cols>
    <col min="1" max="1" width="20.00390625" style="0" customWidth="1"/>
    <col min="2" max="2" width="7.7109375" style="0" customWidth="1"/>
    <col min="5" max="5" width="10.421875" style="0" customWidth="1"/>
    <col min="8" max="8" width="20.57421875" style="0" customWidth="1"/>
    <col min="9" max="9" width="12.00390625" style="0" customWidth="1"/>
    <col min="11" max="11" width="20.7109375" style="0" customWidth="1"/>
    <col min="17" max="17" width="10.28125" style="0" customWidth="1"/>
    <col min="18" max="18" width="17.28125" style="0" customWidth="1"/>
  </cols>
  <sheetData>
    <row r="1" spans="1:64" ht="12.75">
      <c r="A1" s="1" t="s">
        <v>44</v>
      </c>
      <c r="B1" s="1" t="s">
        <v>22</v>
      </c>
      <c r="D1" t="s">
        <v>76</v>
      </c>
      <c r="AA1" s="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.75">
      <c r="A2" s="1"/>
      <c r="B2" s="1"/>
      <c r="AA2" s="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2" t="s">
        <v>73</v>
      </c>
      <c r="B3" s="3"/>
      <c r="D3" s="12" t="s">
        <v>81</v>
      </c>
      <c r="AA3" s="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>
      <c r="A4" s="2" t="s">
        <v>72</v>
      </c>
      <c r="B4" s="3"/>
      <c r="AA4" s="7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" t="s">
        <v>0</v>
      </c>
      <c r="B5" s="3">
        <v>1</v>
      </c>
      <c r="D5" s="13" t="s">
        <v>52</v>
      </c>
      <c r="AA5" s="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136" t="s">
        <v>292</v>
      </c>
      <c r="B6" s="3"/>
      <c r="D6" s="13"/>
      <c r="AA6" s="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2" t="s">
        <v>2</v>
      </c>
      <c r="B7" s="3"/>
      <c r="D7" t="s">
        <v>53</v>
      </c>
      <c r="AA7" s="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2" t="s">
        <v>6</v>
      </c>
      <c r="B8" s="3"/>
      <c r="D8" t="s">
        <v>60</v>
      </c>
      <c r="AA8" s="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2" t="s">
        <v>3</v>
      </c>
      <c r="B9" s="3"/>
      <c r="D9" t="s">
        <v>54</v>
      </c>
      <c r="AA9" s="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2" t="s">
        <v>4</v>
      </c>
      <c r="B10" s="3"/>
      <c r="AA10" s="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36" t="s">
        <v>293</v>
      </c>
      <c r="B11" s="3"/>
      <c r="D11" s="12" t="s">
        <v>55</v>
      </c>
      <c r="AA11" s="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2" t="s">
        <v>5</v>
      </c>
      <c r="B12" s="3"/>
      <c r="D12" t="s">
        <v>278</v>
      </c>
      <c r="AA12" s="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>
      <c r="A13" s="136" t="s">
        <v>294</v>
      </c>
      <c r="B13" s="3"/>
      <c r="AA13" s="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>
      <c r="A14" s="2"/>
      <c r="B14" s="1"/>
      <c r="D14" t="s">
        <v>83</v>
      </c>
      <c r="AA14" s="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2" t="s">
        <v>74</v>
      </c>
      <c r="B15" s="3"/>
      <c r="AA15" s="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2.75">
      <c r="A16" s="2" t="s">
        <v>71</v>
      </c>
      <c r="B16" s="3"/>
      <c r="D16" t="s">
        <v>58</v>
      </c>
      <c r="AA16" s="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2.75">
      <c r="A17" s="2" t="s">
        <v>11</v>
      </c>
      <c r="B17" s="3">
        <v>1</v>
      </c>
      <c r="D17" t="s">
        <v>84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136" t="s">
        <v>297</v>
      </c>
      <c r="B18" s="3"/>
      <c r="D18" t="s">
        <v>85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2" t="s">
        <v>12</v>
      </c>
      <c r="B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2" t="s">
        <v>1</v>
      </c>
      <c r="B20" s="3"/>
      <c r="D20" t="s">
        <v>56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>
      <c r="A21" s="2" t="s">
        <v>13</v>
      </c>
      <c r="B21" s="3"/>
      <c r="D21" t="s">
        <v>57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2" t="s">
        <v>14</v>
      </c>
      <c r="B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>
      <c r="A23" s="136" t="s">
        <v>298</v>
      </c>
      <c r="B23" s="3"/>
      <c r="D23" t="s">
        <v>281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2" t="s">
        <v>15</v>
      </c>
      <c r="B24" s="3"/>
      <c r="D24" t="s">
        <v>282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>
      <c r="A25" s="136" t="s">
        <v>295</v>
      </c>
      <c r="B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2"/>
      <c r="B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2" t="s">
        <v>75</v>
      </c>
      <c r="B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>
      <c r="A28" s="2" t="s">
        <v>70</v>
      </c>
      <c r="B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>
      <c r="A29" s="2" t="s">
        <v>16</v>
      </c>
      <c r="B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136" t="s">
        <v>299</v>
      </c>
      <c r="B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>
      <c r="A31" s="2" t="s">
        <v>17</v>
      </c>
      <c r="B31" s="3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2" t="s">
        <v>18</v>
      </c>
      <c r="B32" s="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2" t="s">
        <v>19</v>
      </c>
      <c r="B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2" t="s">
        <v>20</v>
      </c>
      <c r="B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36" t="s">
        <v>300</v>
      </c>
      <c r="B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>
      <c r="A36" s="2" t="s">
        <v>21</v>
      </c>
      <c r="B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136" t="s">
        <v>296</v>
      </c>
      <c r="B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2"/>
      <c r="B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4" t="s">
        <v>59</v>
      </c>
      <c r="B39" s="1">
        <f>SUM(B3:B37)</f>
        <v>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6" t="s">
        <v>41</v>
      </c>
      <c r="B41" s="4">
        <f>'600A Delta sht2'!D61</f>
        <v>142.43838878033532</v>
      </c>
      <c r="C41" s="5">
        <f>B41/600</f>
        <v>0.2373973146338922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6" t="s">
        <v>42</v>
      </c>
      <c r="B42" s="4">
        <f>'600A Delta sht2'!D62</f>
        <v>120.46780915059277</v>
      </c>
      <c r="C42" s="5">
        <f>B42/600</f>
        <v>0.2007796819176546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6" t="s">
        <v>43</v>
      </c>
      <c r="B43" s="4">
        <f>'600A Delta sht2'!D63</f>
        <v>120.4678091505928</v>
      </c>
      <c r="C43" s="5">
        <f>B43/600</f>
        <v>0.20077968191765466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6" t="s">
        <v>40</v>
      </c>
      <c r="B45" s="4">
        <f>'600A Delta sht2'!E29+'600A Delta sht2'!E42+'600A Delta sht2'!E56</f>
        <v>220.51656920077974</v>
      </c>
      <c r="C45" s="5">
        <f>B45/'600A Delta sht2'!C13</f>
        <v>0.21219216764807153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4:6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4:6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4:64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81"/>
  <sheetViews>
    <sheetView zoomScalePageLayoutView="0" workbookViewId="0" topLeftCell="A17">
      <selection activeCell="E17" sqref="E17"/>
    </sheetView>
  </sheetViews>
  <sheetFormatPr defaultColWidth="9.140625" defaultRowHeight="12.75"/>
  <cols>
    <col min="1" max="1" width="16.00390625" style="0" customWidth="1"/>
    <col min="3" max="3" width="9.00390625" style="0" customWidth="1"/>
    <col min="8" max="8" width="15.140625" style="0" customWidth="1"/>
  </cols>
  <sheetData>
    <row r="1" ht="12.75">
      <c r="R1" s="7"/>
    </row>
    <row r="2" ht="12.75">
      <c r="R2" s="7"/>
    </row>
    <row r="3" ht="12.75">
      <c r="R3" s="7"/>
    </row>
    <row r="4" ht="12.75">
      <c r="R4" s="7"/>
    </row>
    <row r="5" ht="12.75">
      <c r="R5" s="7"/>
    </row>
    <row r="6" ht="12.75">
      <c r="R6" s="7"/>
    </row>
    <row r="7" ht="12.75">
      <c r="R7" s="7"/>
    </row>
    <row r="8" ht="12.75">
      <c r="R8" s="7"/>
    </row>
    <row r="9" spans="3:18" ht="12.7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10" t="s">
        <v>47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7" t="s">
        <v>48</v>
      </c>
      <c r="B12" s="7"/>
      <c r="C12" s="8">
        <f>480*600*3/3^0.5</f>
        <v>498830.6325798367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7" t="s">
        <v>49</v>
      </c>
      <c r="B13" s="7"/>
      <c r="C13" s="8">
        <f>C12/480</f>
        <v>1039.2304845413264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10" t="s">
        <v>50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7" t="s">
        <v>44</v>
      </c>
      <c r="B16" s="7"/>
      <c r="C16" s="7"/>
      <c r="D16" s="7"/>
      <c r="E16" s="7" t="s">
        <v>26</v>
      </c>
      <c r="F16" s="7" t="s">
        <v>30</v>
      </c>
      <c r="G16" s="7" t="s">
        <v>27</v>
      </c>
      <c r="H16" s="7" t="s">
        <v>28</v>
      </c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11" t="s">
        <v>73</v>
      </c>
      <c r="B18" s="7">
        <f>'600A Delta'!B3</f>
        <v>0</v>
      </c>
      <c r="C18" s="7"/>
      <c r="D18" s="7"/>
      <c r="E18" s="7">
        <f>'600A Delta'!B3*'600A Delta sht2'!$L$77</f>
        <v>0</v>
      </c>
      <c r="F18" s="7">
        <f>IF('600A Delta'!B3&gt;0,'600A Delta sht2'!$N$77,"")</f>
      </c>
      <c r="G18" s="7">
        <f>IF('600A Delta'!B3&gt;0,E18*COS(2*PI()*F18/360),"")</f>
      </c>
      <c r="H18" s="7">
        <f>IF('600A Delta'!B3&gt;0,E18*SIN(2*PI()*F18/360),"")</f>
      </c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11" t="s">
        <v>72</v>
      </c>
      <c r="B19" s="7">
        <f>'600A Delta'!B4</f>
        <v>0</v>
      </c>
      <c r="C19" s="7"/>
      <c r="D19" s="7"/>
      <c r="E19" s="7">
        <f>'600A Delta'!B4*'600A Delta sht2'!$L$76</f>
        <v>0</v>
      </c>
      <c r="F19" s="7">
        <f>IF('600A Delta'!B4&gt;0,'600A Delta sht2'!$N$76,"")</f>
      </c>
      <c r="G19" s="7">
        <f>IF('600A Delta'!B4&gt;0,E19*COS(2*PI()*F19/360),"")</f>
      </c>
      <c r="H19" s="7">
        <f>IF('600A Delta'!B4&gt;0,E19*SIN(2*PI()*F19/360),"")</f>
      </c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11" t="s">
        <v>0</v>
      </c>
      <c r="B20" s="7">
        <f>'600A Delta'!B5</f>
        <v>1</v>
      </c>
      <c r="C20" s="7"/>
      <c r="D20" s="7"/>
      <c r="E20" s="7">
        <f>'600A Delta'!B5*'600A Delta sht2'!$L$67</f>
        <v>82.23684210526316</v>
      </c>
      <c r="F20" s="7">
        <f>IF('600A Delta'!B5&gt;0,'600A Delta sht2'!$N$67,"")</f>
        <v>18.194872338766793</v>
      </c>
      <c r="G20" s="7">
        <f>IF('600A Delta'!B5&gt;0,E20*COS(2*PI()*F20/360),"")</f>
        <v>78.125</v>
      </c>
      <c r="H20" s="7">
        <f>IF('600A Delta'!B5&gt;0,E20*SIN(2*PI()*F20/360),"")</f>
        <v>25.678445717098697</v>
      </c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137" t="s">
        <v>292</v>
      </c>
      <c r="B21" s="7">
        <f>'600A Delta'!B6</f>
        <v>0</v>
      </c>
      <c r="C21" s="7"/>
      <c r="D21" s="7"/>
      <c r="E21" s="7">
        <f>'600A Delta'!B6*'600A Delta sht2'!$L$68</f>
        <v>0</v>
      </c>
      <c r="F21" s="7">
        <f>IF('600A Delta'!B6&gt;0,'600A Delta sht2'!$N$68,"")</f>
      </c>
      <c r="G21" s="7">
        <f>IF('600A Delta'!B6&gt;0,E21*COS(2*PI()*F21/360),"")</f>
      </c>
      <c r="H21" s="7">
        <f>IF('600A Delta'!B6&gt;0,E21*SIN(2*PI()*F21/360),"")</f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11" t="s">
        <v>2</v>
      </c>
      <c r="B22" s="7">
        <f>'600A Delta'!B7</f>
        <v>0</v>
      </c>
      <c r="C22" s="7"/>
      <c r="D22" s="7"/>
      <c r="E22" s="7">
        <f>'600A Delta'!B7*'600A Delta sht2'!$L$69</f>
        <v>0</v>
      </c>
      <c r="F22" s="7">
        <f>IF('600A Delta'!B7&gt;0,'600A Delta sht2'!$N$69,"")</f>
      </c>
      <c r="G22" s="7">
        <f>IF('600A Delta'!B7&gt;0,E22*COS(2*PI()*F22/360),"")</f>
      </c>
      <c r="H22" s="7">
        <f>IF('600A Delta'!B7&gt;0,E22*SIN(2*PI()*F22/360),"")</f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11" t="s">
        <v>6</v>
      </c>
      <c r="B23" s="7">
        <f>'600A Delta'!B8</f>
        <v>0</v>
      </c>
      <c r="C23" s="7"/>
      <c r="D23" s="7"/>
      <c r="E23" s="7">
        <f>'600A Delta'!B8*'600A Delta sht2'!$L$70</f>
        <v>0</v>
      </c>
      <c r="F23" s="7">
        <f>IF('600A Delta'!B8&gt;0,'600A Delta sht2'!$N$70,"")</f>
      </c>
      <c r="G23" s="7">
        <f>IF('600A Delta'!B8&gt;0,E23*COS(2*PI()*F23/360),"")</f>
      </c>
      <c r="H23" s="7">
        <f>IF('600A Delta'!B8&gt;0,E23*SIN(2*PI()*F23/360),"")</f>
      </c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11" t="s">
        <v>3</v>
      </c>
      <c r="B24" s="7">
        <f>'600A Delta'!B9</f>
        <v>0</v>
      </c>
      <c r="C24" s="7"/>
      <c r="D24" s="7"/>
      <c r="E24" s="7">
        <f>'600A Delta'!B9*'600A Delta sht2'!$L$71</f>
        <v>0</v>
      </c>
      <c r="F24" s="7">
        <f>IF('600A Delta'!B9&gt;0,'600A Delta sht2'!$N$71,"")</f>
      </c>
      <c r="G24" s="7">
        <f>IF('600A Delta'!B9&gt;0,E24*COS(2*PI()*F24/360),"")</f>
      </c>
      <c r="H24" s="7">
        <f>IF('600A Delta'!B9&gt;0,E24*SIN(2*PI()*F24/360),"")</f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11" t="s">
        <v>4</v>
      </c>
      <c r="B25" s="7">
        <f>'600A Delta'!B10</f>
        <v>0</v>
      </c>
      <c r="C25" s="7"/>
      <c r="D25" s="7"/>
      <c r="E25" s="7">
        <f>'600A Delta'!B10*'600A Delta sht2'!$L$72</f>
        <v>0</v>
      </c>
      <c r="F25" s="7">
        <f>IF('600A Delta'!B10&gt;0,'600A Delta sht2'!$N$72,"")</f>
      </c>
      <c r="G25" s="7">
        <f>IF('600A Delta'!B10&gt;0,E25*COS(2*PI()*F25/360),"")</f>
      </c>
      <c r="H25" s="7">
        <f>IF('600A Delta'!B10&gt;0,E25*SIN(2*PI()*F25/360),"")</f>
      </c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137" t="s">
        <v>293</v>
      </c>
      <c r="B26" s="7">
        <f>'600A Delta'!B11</f>
        <v>0</v>
      </c>
      <c r="C26" s="7"/>
      <c r="D26" s="7"/>
      <c r="E26" s="7">
        <f>'600A Delta'!B11*'600A Delta sht2'!$L$73</f>
        <v>0</v>
      </c>
      <c r="F26" s="7">
        <f>IF('600A Delta'!B11&gt;0,'600A Delta sht2'!$N$73,"")</f>
      </c>
      <c r="G26" s="7">
        <f>IF('600A Delta'!B11&gt;0,E26*COS(2*PI()*F26/360),"")</f>
      </c>
      <c r="H26" s="7">
        <f>IF('600A Delta'!B11&gt;0,E26*SIN(2*PI()*F26/360),"")</f>
      </c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11" t="s">
        <v>5</v>
      </c>
      <c r="B27" s="7">
        <f>'600A Delta'!B12</f>
        <v>0</v>
      </c>
      <c r="C27" s="7"/>
      <c r="D27" s="7"/>
      <c r="E27" s="7">
        <f>'600A Delta'!B12*'600A Delta sht2'!$L$74</f>
        <v>0</v>
      </c>
      <c r="F27" s="7">
        <f>IF('600A Delta'!B12&gt;0,'600A Delta sht2'!$N$74,"")</f>
      </c>
      <c r="G27" s="7">
        <f>IF('600A Delta'!B12&gt;0,E27*COS(2*PI()*F27/360),"")</f>
      </c>
      <c r="H27" s="7">
        <f>IF('600A Delta'!B12&gt;0,E27*SIN(2*PI()*F27/360),"")</f>
      </c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137" t="s">
        <v>294</v>
      </c>
      <c r="B28" s="7">
        <f>'600A Delta'!B13</f>
        <v>0</v>
      </c>
      <c r="C28" s="7"/>
      <c r="D28" s="7"/>
      <c r="E28" s="7">
        <f>'600A Delta'!B13*'600A Delta sht2'!$L$75</f>
        <v>0</v>
      </c>
      <c r="F28" s="7">
        <f>IF('600A Delta'!B13&gt;0,'600A Delta sht2'!$N$75,"")</f>
      </c>
      <c r="G28" s="7">
        <f>IF('600A Delta'!B13&gt;0,E28*COS(2*PI()*F28/360),"")</f>
      </c>
      <c r="H28" s="7">
        <f>IF('600A Delta'!B13&gt;0,E28*SIN(2*PI()*F28/360),"")</f>
      </c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11" t="s">
        <v>34</v>
      </c>
      <c r="B29" s="7"/>
      <c r="C29" s="7"/>
      <c r="D29" s="7"/>
      <c r="E29" s="7">
        <f>(G29^2+H29^2)^0.5</f>
        <v>82.23684210526316</v>
      </c>
      <c r="F29" s="7">
        <f>ASIN(H29/E29)*360/(2*PI())</f>
        <v>18.19487233876679</v>
      </c>
      <c r="G29" s="7">
        <f>SUM(G18:G28)</f>
        <v>78.125</v>
      </c>
      <c r="H29" s="7">
        <f>SUM(H18:H28)</f>
        <v>25.678445717098697</v>
      </c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11" t="s">
        <v>74</v>
      </c>
      <c r="B31" s="7">
        <f>'600A Delta'!B15</f>
        <v>0</v>
      </c>
      <c r="C31" s="7"/>
      <c r="D31" s="7"/>
      <c r="E31" s="7">
        <f>'600A Delta'!B15*'600A Delta sht2'!$L$77</f>
        <v>0</v>
      </c>
      <c r="F31" s="7">
        <f>IF('600A Delta'!B15&gt;0,'600A Delta sht2'!$N$77,"")</f>
      </c>
      <c r="G31" s="7">
        <f>IF('600A Delta'!B15&gt;0,E31*COS(2*PI()*F31/360),"")</f>
      </c>
      <c r="H31" s="7">
        <f>IF('600A Delta'!B15&gt;0,E31*SIN(2*PI()*F31/360),"")</f>
      </c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11" t="s">
        <v>71</v>
      </c>
      <c r="B32" s="7">
        <f>'600A Delta'!B16</f>
        <v>0</v>
      </c>
      <c r="C32" s="7"/>
      <c r="D32" s="7"/>
      <c r="E32" s="7">
        <f>'600A Delta'!B16*'600A Delta sht2'!$L$76</f>
        <v>0</v>
      </c>
      <c r="F32" s="7">
        <f>IF('600A Delta'!B16&gt;0,'600A Delta sht2'!$N$76,"")</f>
      </c>
      <c r="G32" s="7">
        <f>IF('600A Delta'!B16&gt;0,E32*COS(2*PI()*F32/360),"")</f>
      </c>
      <c r="H32" s="7">
        <f>IF('600A Delta'!B16&gt;0,E32*SIN(2*PI()*F32/360),"")</f>
      </c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11" t="s">
        <v>11</v>
      </c>
      <c r="B33" s="7">
        <f>'600A Delta'!B17</f>
        <v>1</v>
      </c>
      <c r="C33" s="7"/>
      <c r="D33" s="7"/>
      <c r="E33" s="7">
        <f>'600A Delta'!B17*'600A Delta sht2'!$L$67</f>
        <v>82.23684210526316</v>
      </c>
      <c r="F33" s="7">
        <f>IF('600A Delta'!B17&gt;0,'600A Delta sht2'!$N$67,"")</f>
        <v>18.194872338766793</v>
      </c>
      <c r="G33" s="7">
        <f>IF('600A Delta'!B17&gt;0,E33*COS(2*PI()*F33/360),"")</f>
        <v>78.125</v>
      </c>
      <c r="H33" s="7">
        <f>IF('600A Delta'!B17&gt;0,E33*SIN(2*PI()*F33/360),"")</f>
        <v>25.678445717098697</v>
      </c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137" t="s">
        <v>297</v>
      </c>
      <c r="B34" s="7">
        <f>'600A Delta'!B18</f>
        <v>0</v>
      </c>
      <c r="C34" s="7"/>
      <c r="D34" s="7"/>
      <c r="E34" s="7">
        <f>'600A Delta'!B18*'600A Delta sht2'!$L$68</f>
        <v>0</v>
      </c>
      <c r="F34" s="7">
        <f>IF('600A Delta'!B18&gt;0,'600A Delta sht2'!$N$68,"")</f>
      </c>
      <c r="G34" s="7">
        <f>IF('600A Delta'!B18&gt;0,E34*COS(2*PI()*F34/360),"")</f>
      </c>
      <c r="H34" s="7">
        <f>IF('600A Delta'!B18&gt;0,E34*SIN(2*PI()*F34/360),"")</f>
      </c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11" t="s">
        <v>12</v>
      </c>
      <c r="B35" s="7">
        <f>'600A Delta'!B19</f>
        <v>0</v>
      </c>
      <c r="C35" s="7"/>
      <c r="D35" s="7"/>
      <c r="E35" s="7">
        <f>'600A Delta'!B19*'600A Delta sht2'!$L$69</f>
        <v>0</v>
      </c>
      <c r="F35" s="7">
        <f>IF('600A Delta'!B19&gt;0,'600A Delta sht2'!$N$69,"")</f>
      </c>
      <c r="G35" s="7">
        <f>IF('600A Delta'!B19&gt;0,E35*COS(2*PI()*F35/360),"")</f>
      </c>
      <c r="H35" s="7">
        <f>IF('600A Delta'!B19&gt;0,E35*SIN(2*PI()*F35/360),"")</f>
      </c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11" t="s">
        <v>1</v>
      </c>
      <c r="B36" s="7">
        <f>'600A Delta'!B20</f>
        <v>0</v>
      </c>
      <c r="C36" s="7"/>
      <c r="D36" s="7"/>
      <c r="E36" s="7">
        <f>'600A Delta'!B20*'600A Delta sht2'!$L$70</f>
        <v>0</v>
      </c>
      <c r="F36" s="7">
        <f>IF('600A Delta'!B20&gt;0,'600A Delta sht2'!$N$70,"")</f>
      </c>
      <c r="G36" s="7">
        <f>IF('600A Delta'!B20&gt;0,E36*COS(2*PI()*F36/360),"")</f>
      </c>
      <c r="H36" s="7">
        <f>IF('600A Delta'!B20&gt;0,E36*SIN(2*PI()*F36/360),"")</f>
      </c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11" t="s">
        <v>13</v>
      </c>
      <c r="B37" s="7">
        <f>'600A Delta'!B21</f>
        <v>0</v>
      </c>
      <c r="C37" s="7"/>
      <c r="D37" s="7"/>
      <c r="E37" s="7">
        <f>'600A Delta'!B21*'600A Delta sht2'!$L$71</f>
        <v>0</v>
      </c>
      <c r="F37" s="7">
        <f>IF('600A Delta'!B21&gt;0,'600A Delta sht2'!$N$71,"")</f>
      </c>
      <c r="G37" s="7">
        <f>IF('600A Delta'!B21&gt;0,E37*COS(2*PI()*F37/360),"")</f>
      </c>
      <c r="H37" s="7">
        <f>IF('600A Delta'!B21&gt;0,E37*SIN(2*PI()*F37/360),"")</f>
      </c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11" t="s">
        <v>14</v>
      </c>
      <c r="B38" s="7">
        <f>'600A Delta'!B22</f>
        <v>0</v>
      </c>
      <c r="C38" s="7"/>
      <c r="D38" s="7"/>
      <c r="E38" s="7">
        <f>'600A Delta'!B22*'600A Delta sht2'!$L$72</f>
        <v>0</v>
      </c>
      <c r="F38" s="7">
        <f>IF('600A Delta'!B22&gt;0,'600A Delta sht2'!$N$72,"")</f>
      </c>
      <c r="G38" s="7">
        <f>IF('600A Delta'!B22&gt;0,E38*COS(2*PI()*F38/360),"")</f>
      </c>
      <c r="H38" s="7">
        <f>IF('600A Delta'!B22&gt;0,E38*SIN(2*PI()*F38/360),"")</f>
      </c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137" t="s">
        <v>298</v>
      </c>
      <c r="B39" s="7">
        <f>'600A Delta'!B23</f>
        <v>0</v>
      </c>
      <c r="C39" s="7"/>
      <c r="D39" s="7"/>
      <c r="E39" s="7">
        <f>'600A Delta'!B23*'600A Delta sht2'!$L$73</f>
        <v>0</v>
      </c>
      <c r="F39" s="7">
        <f>IF('600A Delta'!B23&gt;0,'600A Delta sht2'!$N$73,"")</f>
      </c>
      <c r="G39" s="7">
        <f>IF('600A Delta'!B23&gt;0,E39*COS(2*PI()*F39/360),"")</f>
      </c>
      <c r="H39" s="7">
        <f>IF('600A Delta'!B23&gt;0,E39*SIN(2*PI()*F39/360),"")</f>
      </c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137" t="s">
        <v>15</v>
      </c>
      <c r="B40" s="7">
        <f>'600A Delta'!B24</f>
        <v>0</v>
      </c>
      <c r="C40" s="7"/>
      <c r="D40" s="7"/>
      <c r="E40" s="7">
        <f>'600A Delta'!B24*'600A Delta sht2'!$L$74</f>
        <v>0</v>
      </c>
      <c r="F40" s="7">
        <f>IF('600A Delta'!B24&gt;0,'600A Delta sht2'!$N$74,"")</f>
      </c>
      <c r="G40" s="7">
        <f>IF('600A Delta'!B24&gt;0,E40*COS(2*PI()*F40/360),"")</f>
      </c>
      <c r="H40" s="7">
        <f>IF('600A Delta'!B24&gt;0,E40*SIN(2*PI()*F40/360),"")</f>
      </c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137" t="s">
        <v>295</v>
      </c>
      <c r="B41" s="7">
        <f>'600A Delta'!B25</f>
        <v>0</v>
      </c>
      <c r="C41" s="7"/>
      <c r="D41" s="7"/>
      <c r="E41" s="7">
        <f>'600A Delta'!B25*'600A Delta sht2'!$L$75</f>
        <v>0</v>
      </c>
      <c r="F41" s="7">
        <f>IF('600A Delta'!B25&gt;0,'600A Delta sht2'!$N$75,"")</f>
      </c>
      <c r="G41" s="7">
        <f>IF('600A Delta'!B25&gt;0,E41*COS(2*PI()*F41/360),"")</f>
      </c>
      <c r="H41" s="7">
        <f>IF('600A Delta'!B25&gt;0,E41*SIN(2*PI()*F41/360),"")</f>
      </c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11" t="s">
        <v>35</v>
      </c>
      <c r="B42" s="7"/>
      <c r="C42" s="7"/>
      <c r="D42" s="7"/>
      <c r="E42" s="7">
        <f>(G42^2+H42^2)^0.5</f>
        <v>82.23684210526316</v>
      </c>
      <c r="F42" s="7">
        <f>ASIN(H42/E42)*360/(2*PI())</f>
        <v>18.19487233876679</v>
      </c>
      <c r="G42" s="7">
        <f>SUM(G31:G41)</f>
        <v>78.125</v>
      </c>
      <c r="H42" s="7">
        <f>SUM(H31:H41)</f>
        <v>25.678445717098697</v>
      </c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11" t="s">
        <v>38</v>
      </c>
      <c r="B43" s="7"/>
      <c r="C43" s="7"/>
      <c r="D43" s="7"/>
      <c r="E43" s="7"/>
      <c r="F43" s="7">
        <f>F42-120</f>
        <v>-101.80512766123321</v>
      </c>
      <c r="G43" s="7">
        <f>E42*COS(F43*2*PI()/360)</f>
        <v>-16.824313679292818</v>
      </c>
      <c r="H43" s="7">
        <f>E42*SIN(2*PI()*F43/360)</f>
        <v>-80.49745752920862</v>
      </c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11" t="s">
        <v>75</v>
      </c>
      <c r="B45" s="7">
        <f>'600A Delta'!B27</f>
        <v>0</v>
      </c>
      <c r="C45" s="7"/>
      <c r="D45" s="7"/>
      <c r="E45" s="7">
        <f>'600A Delta'!B27*'600A Delta sht2'!$L$77</f>
        <v>0</v>
      </c>
      <c r="F45" s="7">
        <f>IF('600A Delta'!B27&gt;0,'600A Delta sht2'!$N$77,"")</f>
      </c>
      <c r="G45" s="7">
        <f>IF('600A Delta'!B27&gt;0,E45*COS(2*PI()*F45/360),"")</f>
      </c>
      <c r="H45" s="7">
        <f>IF('600A Delta'!B27&gt;0,E45*SIN(2*PI()*F45/360),"")</f>
      </c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11" t="s">
        <v>70</v>
      </c>
      <c r="B46" s="7">
        <f>'600A Delta'!B28</f>
        <v>0</v>
      </c>
      <c r="C46" s="7"/>
      <c r="D46" s="7"/>
      <c r="E46" s="7">
        <f>'600A Delta'!B28*'600A Delta sht2'!$L$76</f>
        <v>0</v>
      </c>
      <c r="F46" s="7">
        <f>IF('600A Delta'!B28&gt;0,'600A Delta sht2'!$N$76,"")</f>
      </c>
      <c r="G46" s="7">
        <f>IF('600A Delta'!B28&gt;0,E46*COS(2*PI()*F46/360),"")</f>
      </c>
      <c r="H46" s="7">
        <f>IF('600A Delta'!B28&gt;0,E46*SIN(2*PI()*F46/360),"")</f>
      </c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11" t="s">
        <v>16</v>
      </c>
      <c r="B47" s="7">
        <f>'600A Delta'!B29</f>
        <v>0</v>
      </c>
      <c r="C47" s="7"/>
      <c r="D47" s="7"/>
      <c r="E47" s="7">
        <f>'600A Delta'!B29*'600A Delta sht2'!$L$67</f>
        <v>0</v>
      </c>
      <c r="F47" s="7">
        <f>IF('600A Delta'!B29&gt;0,'600A Delta sht2'!$N$67,"")</f>
      </c>
      <c r="G47" s="7">
        <f>IF('600A Delta'!B29&gt;0,E47*COS(2*PI()*F47/360),"")</f>
      </c>
      <c r="H47" s="7">
        <f>IF('600A Delta'!B29&gt;0,E47*SIN(2*PI()*F47/360),"")</f>
      </c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137" t="s">
        <v>299</v>
      </c>
      <c r="B48" s="7">
        <f>'600A Delta'!B30</f>
        <v>0</v>
      </c>
      <c r="C48" s="7"/>
      <c r="D48" s="7"/>
      <c r="E48" s="7">
        <f>'600A Delta'!B30*'600A Delta sht2'!$L$68</f>
        <v>0</v>
      </c>
      <c r="F48" s="7">
        <f>IF('600A Delta'!B30&gt;0,'600A Delta sht2'!$N$68,"")</f>
      </c>
      <c r="G48" s="7">
        <f>IF('600A Delta'!B30&gt;0,E48*COS(2*PI()*F48/360),"")</f>
      </c>
      <c r="H48" s="7">
        <f>IF('600A Delta'!B30&gt;0,E48*SIN(2*PI()*F48/360),"")</f>
      </c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11" t="s">
        <v>17</v>
      </c>
      <c r="B49" s="7">
        <f>'600A Delta'!B31</f>
        <v>1</v>
      </c>
      <c r="C49" s="7"/>
      <c r="D49" s="7"/>
      <c r="E49" s="7">
        <f>'600A Delta'!B31*'600A Delta sht2'!$L$69</f>
        <v>56.04288499025341</v>
      </c>
      <c r="F49" s="7">
        <f>IF('600A Delta'!B31&gt;0,'600A Delta sht2'!$N$69,"")</f>
        <v>18.194872338766775</v>
      </c>
      <c r="G49" s="7">
        <f>IF('600A Delta'!B31&gt;0,E49*COS(2*PI()*F49/360),"")</f>
        <v>53.24074074074074</v>
      </c>
      <c r="H49" s="7">
        <f>IF('600A Delta'!B31&gt;0,E49*SIN(2*PI()*F49/360),"")</f>
        <v>17.49938522943021</v>
      </c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11" t="s">
        <v>18</v>
      </c>
      <c r="B50" s="7">
        <f>'600A Delta'!B32</f>
        <v>0</v>
      </c>
      <c r="C50" s="7"/>
      <c r="D50" s="7"/>
      <c r="E50" s="7">
        <f>'600A Delta'!B32*'600A Delta sht2'!$L$70</f>
        <v>0</v>
      </c>
      <c r="F50" s="7">
        <f>IF('600A Delta'!B32&gt;0,'600A Delta sht2'!$N$70,"")</f>
      </c>
      <c r="G50" s="7">
        <f>IF('600A Delta'!B32&gt;0,E50*COS(2*PI()*F50/360),"")</f>
      </c>
      <c r="H50" s="7">
        <f>IF('600A Delta'!B32&gt;0,E50*SIN(2*PI()*F50/360),"")</f>
      </c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11" t="s">
        <v>19</v>
      </c>
      <c r="B51" s="7">
        <f>'600A Delta'!B33</f>
        <v>0</v>
      </c>
      <c r="C51" s="7"/>
      <c r="D51" s="7"/>
      <c r="E51" s="7">
        <f>'600A Delta'!B33*'600A Delta sht2'!$L$71</f>
        <v>0</v>
      </c>
      <c r="F51" s="7">
        <f>IF('600A Delta'!B33&gt;0,'600A Delta sht2'!$N$71,"")</f>
      </c>
      <c r="G51" s="7">
        <f>IF('600A Delta'!B33&gt;0,E51*COS(2*PI()*F51/360),"")</f>
      </c>
      <c r="H51" s="7">
        <f>IF('600A Delta'!B33&gt;0,E51*SIN(2*PI()*F51/360),"")</f>
      </c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11" t="s">
        <v>20</v>
      </c>
      <c r="B52" s="7">
        <f>'600A Delta'!B34</f>
        <v>0</v>
      </c>
      <c r="C52" s="7"/>
      <c r="D52" s="7"/>
      <c r="E52" s="7">
        <f>'600A Delta'!B34*'600A Delta sht2'!$L$72</f>
        <v>0</v>
      </c>
      <c r="F52" s="7">
        <f>IF('600A Delta'!B34&gt;0,'600A Delta sht2'!$N$72,"")</f>
      </c>
      <c r="G52" s="7">
        <f>IF('600A Delta'!B34&gt;0,E52*COS(2*PI()*F52/360),"")</f>
      </c>
      <c r="H52" s="7">
        <f>IF('600A Delta'!B34&gt;0,E52*SIN(2*PI()*F52/360),"")</f>
      </c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137" t="s">
        <v>300</v>
      </c>
      <c r="B53" s="7">
        <f>'600A Delta'!B35</f>
        <v>0</v>
      </c>
      <c r="C53" s="7"/>
      <c r="D53" s="7"/>
      <c r="E53" s="7">
        <f>'600A Delta'!B35*'600A Delta sht2'!$L$73</f>
        <v>0</v>
      </c>
      <c r="F53" s="7">
        <f>IF('600A Delta'!B35&gt;0,'600A Delta sht2'!$N$73,"")</f>
      </c>
      <c r="G53" s="7">
        <f>IF('600A Delta'!B35&gt;0,E53*COS(2*PI()*F53/360),"")</f>
      </c>
      <c r="H53" s="7">
        <f>IF('600A Delta'!B35&gt;0,E53*SIN(2*PI()*F53/360),"")</f>
      </c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11" t="s">
        <v>21</v>
      </c>
      <c r="B54" s="7">
        <f>'600A Delta'!B36</f>
        <v>0</v>
      </c>
      <c r="C54" s="7"/>
      <c r="D54" s="7"/>
      <c r="E54" s="7">
        <f>'600A Delta'!B36*'600A Delta sht2'!$L$74</f>
        <v>0</v>
      </c>
      <c r="F54" s="7">
        <f>IF('600A Delta'!B36&gt;0,'600A Delta sht2'!$N$74,"")</f>
      </c>
      <c r="G54" s="7">
        <f>IF('600A Delta'!B36&gt;0,E54*COS(2*PI()*F54/360),"")</f>
      </c>
      <c r="H54" s="7">
        <f>IF('600A Delta'!B36&gt;0,E54*SIN(2*PI()*F54/360),"")</f>
      </c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137" t="s">
        <v>296</v>
      </c>
      <c r="B55" s="7">
        <f>'600A Delta'!B37</f>
        <v>0</v>
      </c>
      <c r="C55" s="7"/>
      <c r="D55" s="7"/>
      <c r="E55" s="7">
        <f>'600A Delta'!B37*'600A Delta sht2'!$L$75</f>
        <v>0</v>
      </c>
      <c r="F55" s="7">
        <f>IF('600A Delta'!B37&gt;0,'600A Delta sht2'!$N$75,"")</f>
      </c>
      <c r="G55" s="7">
        <f>IF('600A Delta'!B37&gt;0,E55*COS(2*PI()*F55/360),"")</f>
      </c>
      <c r="H55" s="7">
        <f>IF('600A Delta'!B37&gt;0,E55*SIN(2*PI()*F55/360),"")</f>
      </c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11" t="s">
        <v>36</v>
      </c>
      <c r="B56" s="7"/>
      <c r="C56" s="7"/>
      <c r="D56" s="7"/>
      <c r="E56" s="7">
        <f>(G56^2+H56^2)^0.5</f>
        <v>56.04288499025341</v>
      </c>
      <c r="F56" s="7">
        <f>ASIN(H56/E56)*360/(2*PI())</f>
        <v>18.194872338766782</v>
      </c>
      <c r="G56" s="7">
        <f>SUM(G45:G55)</f>
        <v>53.24074074074074</v>
      </c>
      <c r="H56" s="7">
        <f>SUM(H45:H55)</f>
        <v>17.49938522943021</v>
      </c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11" t="s">
        <v>37</v>
      </c>
      <c r="B57" s="7"/>
      <c r="C57" s="7"/>
      <c r="D57" s="7"/>
      <c r="E57" s="7"/>
      <c r="F57" s="7">
        <f>F56+120</f>
        <v>138.19487233876677</v>
      </c>
      <c r="G57" s="7">
        <f>E56*COS(F57*2*PI()/360)</f>
        <v>-41.775282529667095</v>
      </c>
      <c r="H57" s="7">
        <f>E56*SIN(2*PI()*F57/360)</f>
        <v>37.35814138306752</v>
      </c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10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 t="s">
        <v>27</v>
      </c>
      <c r="C60" s="7" t="s">
        <v>28</v>
      </c>
      <c r="D60" s="9" t="s">
        <v>29</v>
      </c>
      <c r="E60" s="7" t="s">
        <v>30</v>
      </c>
      <c r="F60" s="7" t="s">
        <v>39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 t="s">
        <v>23</v>
      </c>
      <c r="B61" s="7">
        <f>'600A Delta sht2'!G29-'600A Delta sht2'!G43</f>
        <v>94.94931367929281</v>
      </c>
      <c r="C61" s="7">
        <f>'600A Delta sht2'!H29-'600A Delta sht2'!H43</f>
        <v>106.17590324630731</v>
      </c>
      <c r="D61" s="9">
        <f>(B61^2+C61^2)^0.5</f>
        <v>142.43838878033532</v>
      </c>
      <c r="E61" s="7">
        <f>ASIN(C61/D61)*360/(2*PI())</f>
        <v>48.194872338766785</v>
      </c>
      <c r="F61" s="7">
        <f>D61/600</f>
        <v>0.2373973146338922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 t="s">
        <v>24</v>
      </c>
      <c r="B62" s="7">
        <f>'600A Delta sht2'!G57-'600A Delta sht2'!G29</f>
        <v>-119.9002825296671</v>
      </c>
      <c r="C62" s="7">
        <f>'600A Delta sht2'!H57-'600A Delta sht2'!H29</f>
        <v>11.679695665968822</v>
      </c>
      <c r="D62" s="9">
        <f>(B62^2+C62^2)^0.5</f>
        <v>120.46780915059277</v>
      </c>
      <c r="E62" s="7">
        <f>ASIN(C62/D62)*360/(2*PI())</f>
        <v>5.5637279748313375</v>
      </c>
      <c r="F62" s="7">
        <f>D62/600</f>
        <v>0.2007796819176546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2.75">
      <c r="A63" s="7" t="s">
        <v>25</v>
      </c>
      <c r="B63" s="7">
        <f>'600A Delta sht2'!G43-'600A Delta sht2'!G57</f>
        <v>24.950968850374277</v>
      </c>
      <c r="C63" s="7">
        <f>'600A Delta sht2'!H43-'600A Delta sht2'!H57</f>
        <v>-117.85559891227614</v>
      </c>
      <c r="D63" s="9">
        <f>(B63^2+C63^2)^0.5</f>
        <v>120.4678091505928</v>
      </c>
      <c r="E63" s="7">
        <f>ASIN(C63/D63)*360/(2*PI())</f>
        <v>-78.04652734763509</v>
      </c>
      <c r="F63" s="7">
        <f>D63/600</f>
        <v>0.20077968191765466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2.75">
      <c r="A65" s="10" t="s">
        <v>51</v>
      </c>
      <c r="B65" s="7"/>
      <c r="C65" s="7"/>
      <c r="D65" s="7"/>
      <c r="E65" s="7"/>
      <c r="F65" s="7"/>
      <c r="G65" s="7"/>
      <c r="H65" s="7"/>
      <c r="I65" s="7"/>
      <c r="J65" s="7" t="s">
        <v>27</v>
      </c>
      <c r="K65" s="7" t="s">
        <v>28</v>
      </c>
      <c r="L65" s="7" t="s">
        <v>29</v>
      </c>
      <c r="M65" s="7" t="s">
        <v>30</v>
      </c>
      <c r="N65" s="7" t="s">
        <v>31</v>
      </c>
      <c r="O65" s="7" t="s">
        <v>32</v>
      </c>
      <c r="P65" s="7"/>
      <c r="R65" s="7"/>
    </row>
    <row r="66" spans="1:18" ht="12.75">
      <c r="A66" s="7"/>
      <c r="B66" s="7"/>
      <c r="C66" s="7"/>
      <c r="D66" s="7" t="s">
        <v>10</v>
      </c>
      <c r="E66" s="7" t="s">
        <v>7</v>
      </c>
      <c r="F66" s="7" t="s">
        <v>9</v>
      </c>
      <c r="G66" s="7" t="s">
        <v>8</v>
      </c>
      <c r="H66" s="7" t="s">
        <v>69</v>
      </c>
      <c r="I66" s="7"/>
      <c r="J66" s="7"/>
      <c r="K66" s="7"/>
      <c r="L66" s="7"/>
      <c r="M66" s="7"/>
      <c r="N66" s="7"/>
      <c r="O66" s="7" t="s">
        <v>29</v>
      </c>
      <c r="P66" s="7" t="s">
        <v>33</v>
      </c>
      <c r="R66" s="7"/>
    </row>
    <row r="67" spans="1:18" ht="12.75">
      <c r="A67" s="7" t="s">
        <v>61</v>
      </c>
      <c r="B67" s="7"/>
      <c r="C67" s="7"/>
      <c r="D67" s="7">
        <f aca="true" t="shared" si="0" ref="D67:D77">$B$81</f>
        <v>480</v>
      </c>
      <c r="E67" s="7">
        <v>30</v>
      </c>
      <c r="F67" s="15">
        <v>0.92</v>
      </c>
      <c r="G67" s="15">
        <v>0.95</v>
      </c>
      <c r="H67" s="8">
        <f>$B$79*E67*1000/(F67*G67*D67)</f>
        <v>82.23684210526316</v>
      </c>
      <c r="I67" s="7"/>
      <c r="J67" s="7">
        <f>L67*'600A Delta sht2'!G67</f>
        <v>78.125</v>
      </c>
      <c r="K67" s="7">
        <f aca="true" t="shared" si="1" ref="K67:K77">(L67^2-J67^2)^0.5</f>
        <v>25.6784457170987</v>
      </c>
      <c r="L67" s="7">
        <f>'600A Delta sht2'!H67</f>
        <v>82.23684210526316</v>
      </c>
      <c r="M67" s="7">
        <f aca="true" t="shared" si="2" ref="M67:M77">ASIN(K67/L67)</f>
        <v>0.3175604292915216</v>
      </c>
      <c r="N67" s="7">
        <f aca="true" t="shared" si="3" ref="N67:N77">M67*360/(2*PI())</f>
        <v>18.194872338766793</v>
      </c>
      <c r="O67" s="7">
        <f aca="true" t="shared" si="4" ref="O67:O77">1/L67</f>
        <v>0.012159999999999999</v>
      </c>
      <c r="P67" s="7">
        <f aca="true" t="shared" si="5" ref="P67:P77">-N67</f>
        <v>-18.194872338766793</v>
      </c>
      <c r="R67" s="7"/>
    </row>
    <row r="68" spans="1:18" ht="12.75">
      <c r="A68" s="138" t="s">
        <v>301</v>
      </c>
      <c r="B68" s="7"/>
      <c r="C68" s="7"/>
      <c r="D68" s="7">
        <f t="shared" si="0"/>
        <v>480</v>
      </c>
      <c r="E68" s="7">
        <v>25</v>
      </c>
      <c r="F68" s="15">
        <v>0.9</v>
      </c>
      <c r="G68" s="15">
        <v>0.95</v>
      </c>
      <c r="H68" s="8">
        <f>$B$79*E68*1000/(F68*G68*D68)</f>
        <v>70.05360623781677</v>
      </c>
      <c r="I68" s="7"/>
      <c r="J68" s="7">
        <f>L68*'600A Delta sht2'!G68</f>
        <v>66.55092592592592</v>
      </c>
      <c r="K68" s="7">
        <f>(L68^2-J68^2)^0.5</f>
        <v>21.874231536787768</v>
      </c>
      <c r="L68" s="7">
        <f>'600A Delta sht2'!H68</f>
        <v>70.05360623781677</v>
      </c>
      <c r="M68" s="7">
        <f>ASIN(K68/L68)</f>
        <v>0.31756042929152145</v>
      </c>
      <c r="N68" s="7">
        <f>M68*360/(2*PI())</f>
        <v>18.194872338766782</v>
      </c>
      <c r="O68" s="7">
        <f>1/L68</f>
        <v>0.014274782608695653</v>
      </c>
      <c r="P68" s="7">
        <f>-N68</f>
        <v>-18.194872338766782</v>
      </c>
      <c r="R68" s="7"/>
    </row>
    <row r="69" spans="1:18" ht="12.75">
      <c r="A69" s="7" t="s">
        <v>62</v>
      </c>
      <c r="B69" s="7"/>
      <c r="C69" s="7"/>
      <c r="D69" s="7">
        <f t="shared" si="0"/>
        <v>480</v>
      </c>
      <c r="E69" s="7">
        <v>20</v>
      </c>
      <c r="F69" s="15">
        <v>0.9</v>
      </c>
      <c r="G69" s="15">
        <v>0.95</v>
      </c>
      <c r="H69" s="8">
        <f>$B$79*E69*1000/(F69*G69*D69)</f>
        <v>56.04288499025341</v>
      </c>
      <c r="I69" s="7"/>
      <c r="J69" s="7">
        <f>L69*'600A Delta sht2'!G69</f>
        <v>53.24074074074074</v>
      </c>
      <c r="K69" s="7">
        <f t="shared" si="1"/>
        <v>17.499385229430207</v>
      </c>
      <c r="L69" s="7">
        <f>'600A Delta sht2'!H69</f>
        <v>56.04288499025341</v>
      </c>
      <c r="M69" s="7">
        <f t="shared" si="2"/>
        <v>0.31756042929152134</v>
      </c>
      <c r="N69" s="7">
        <f t="shared" si="3"/>
        <v>18.194872338766775</v>
      </c>
      <c r="O69" s="7">
        <f t="shared" si="4"/>
        <v>0.017843478260869565</v>
      </c>
      <c r="P69" s="7">
        <f t="shared" si="5"/>
        <v>-18.194872338766775</v>
      </c>
      <c r="R69" s="7"/>
    </row>
    <row r="70" spans="1:18" ht="12.75">
      <c r="A70" s="7" t="s">
        <v>63</v>
      </c>
      <c r="B70" s="7"/>
      <c r="C70" s="7"/>
      <c r="D70" s="7">
        <f t="shared" si="0"/>
        <v>480</v>
      </c>
      <c r="E70" s="7">
        <v>15</v>
      </c>
      <c r="F70" s="15">
        <v>0.9</v>
      </c>
      <c r="G70" s="15">
        <v>0.95</v>
      </c>
      <c r="H70" s="8">
        <f>$B$79*E70*1000/(F70*G70*D70)</f>
        <v>42.03216374269006</v>
      </c>
      <c r="I70" s="7"/>
      <c r="J70" s="7">
        <f>L70*'600A Delta sht2'!G70</f>
        <v>39.93055555555556</v>
      </c>
      <c r="K70" s="7">
        <f t="shared" si="1"/>
        <v>13.12453892207265</v>
      </c>
      <c r="L70" s="7">
        <f>'600A Delta sht2'!H70</f>
        <v>42.03216374269006</v>
      </c>
      <c r="M70" s="7">
        <f t="shared" si="2"/>
        <v>0.3175604292915212</v>
      </c>
      <c r="N70" s="7">
        <f t="shared" si="3"/>
        <v>18.194872338766768</v>
      </c>
      <c r="O70" s="7">
        <f t="shared" si="4"/>
        <v>0.023791304347826087</v>
      </c>
      <c r="P70" s="7">
        <f t="shared" si="5"/>
        <v>-18.194872338766768</v>
      </c>
      <c r="R70" s="7"/>
    </row>
    <row r="71" spans="1:18" ht="12.75">
      <c r="A71" s="7" t="s">
        <v>64</v>
      </c>
      <c r="B71" s="7"/>
      <c r="C71" s="7"/>
      <c r="D71" s="7">
        <f t="shared" si="0"/>
        <v>480</v>
      </c>
      <c r="E71" s="7">
        <v>10</v>
      </c>
      <c r="F71" s="15">
        <v>0.9</v>
      </c>
      <c r="G71" s="15">
        <v>0.9</v>
      </c>
      <c r="H71" s="16">
        <f aca="true" t="shared" si="6" ref="H71:H77">$B$79*E71*1000/(F71*G71*$D$67)</f>
        <v>29.578189300411523</v>
      </c>
      <c r="I71" s="7"/>
      <c r="J71" s="7">
        <f>L71*'600A Delta sht2'!G71</f>
        <v>26.62037037037037</v>
      </c>
      <c r="K71" s="7">
        <f t="shared" si="1"/>
        <v>12.892833809340985</v>
      </c>
      <c r="L71" s="7">
        <f>'600A Delta sht2'!H71</f>
        <v>29.578189300411523</v>
      </c>
      <c r="M71" s="7">
        <f t="shared" si="2"/>
        <v>0.4510268117962625</v>
      </c>
      <c r="N71" s="7">
        <f t="shared" si="3"/>
        <v>25.84193276316713</v>
      </c>
      <c r="O71" s="7">
        <f t="shared" si="4"/>
        <v>0.03380869565217391</v>
      </c>
      <c r="P71" s="7">
        <f t="shared" si="5"/>
        <v>-25.84193276316713</v>
      </c>
      <c r="R71" s="7"/>
    </row>
    <row r="72" spans="1:18" ht="12.75">
      <c r="A72" s="7" t="s">
        <v>65</v>
      </c>
      <c r="B72" s="7"/>
      <c r="C72" s="7"/>
      <c r="D72" s="7">
        <f t="shared" si="0"/>
        <v>480</v>
      </c>
      <c r="E72" s="7">
        <v>7.5</v>
      </c>
      <c r="F72" s="15">
        <v>0.9</v>
      </c>
      <c r="G72" s="15">
        <v>0.9</v>
      </c>
      <c r="H72" s="16">
        <f t="shared" si="6"/>
        <v>22.183641975308642</v>
      </c>
      <c r="I72" s="7"/>
      <c r="J72" s="7">
        <f>L72*'600A Delta sht2'!G72</f>
        <v>19.96527777777778</v>
      </c>
      <c r="K72" s="7">
        <f t="shared" si="1"/>
        <v>9.669625357005739</v>
      </c>
      <c r="L72" s="7">
        <f>'600A Delta sht2'!H72</f>
        <v>22.183641975308642</v>
      </c>
      <c r="M72" s="7">
        <f t="shared" si="2"/>
        <v>0.4510268117962625</v>
      </c>
      <c r="N72" s="7">
        <f t="shared" si="3"/>
        <v>25.84193276316713</v>
      </c>
      <c r="O72" s="7">
        <f t="shared" si="4"/>
        <v>0.04507826086956521</v>
      </c>
      <c r="P72" s="7">
        <f t="shared" si="5"/>
        <v>-25.84193276316713</v>
      </c>
      <c r="R72" s="7"/>
    </row>
    <row r="73" spans="1:18" ht="12.75">
      <c r="A73" s="138" t="s">
        <v>302</v>
      </c>
      <c r="B73" s="7"/>
      <c r="C73" s="7"/>
      <c r="D73" s="7">
        <f t="shared" si="0"/>
        <v>480</v>
      </c>
      <c r="E73" s="7">
        <v>5</v>
      </c>
      <c r="F73" s="15">
        <v>0.9</v>
      </c>
      <c r="G73" s="15">
        <v>0.9</v>
      </c>
      <c r="H73" s="16">
        <f t="shared" si="6"/>
        <v>14.789094650205762</v>
      </c>
      <c r="I73" s="7"/>
      <c r="J73" s="7">
        <f>L73*'600A Delta sht2'!G73</f>
        <v>13.310185185185185</v>
      </c>
      <c r="K73" s="7">
        <f>(L73^2-J73^2)^0.5</f>
        <v>6.446416904670492</v>
      </c>
      <c r="L73" s="7">
        <f>'600A Delta sht2'!H73</f>
        <v>14.789094650205762</v>
      </c>
      <c r="M73" s="7">
        <f>ASIN(K73/L73)</f>
        <v>0.4510268117962625</v>
      </c>
      <c r="N73" s="7">
        <f>M73*360/(2*PI())</f>
        <v>25.84193276316713</v>
      </c>
      <c r="O73" s="7">
        <f>1/L73</f>
        <v>0.06761739130434782</v>
      </c>
      <c r="P73" s="7">
        <f>-N73</f>
        <v>-25.84193276316713</v>
      </c>
      <c r="R73" s="7"/>
    </row>
    <row r="74" spans="1:18" ht="12.75">
      <c r="A74" s="7" t="s">
        <v>66</v>
      </c>
      <c r="B74" s="7"/>
      <c r="C74" s="7"/>
      <c r="D74" s="7">
        <f t="shared" si="0"/>
        <v>480</v>
      </c>
      <c r="E74" s="7">
        <v>4</v>
      </c>
      <c r="F74" s="15">
        <v>0.9</v>
      </c>
      <c r="G74" s="15">
        <v>0.9</v>
      </c>
      <c r="H74" s="16">
        <f t="shared" si="6"/>
        <v>11.831275720164609</v>
      </c>
      <c r="I74" s="7"/>
      <c r="J74" s="7">
        <f>L74*'600A Delta sht2'!G74</f>
        <v>10.648148148148149</v>
      </c>
      <c r="K74" s="7">
        <f t="shared" si="1"/>
        <v>5.157133523736393</v>
      </c>
      <c r="L74" s="7">
        <f>'600A Delta sht2'!H74</f>
        <v>11.831275720164609</v>
      </c>
      <c r="M74" s="7">
        <f t="shared" si="2"/>
        <v>0.4510268117962624</v>
      </c>
      <c r="N74" s="7">
        <f t="shared" si="3"/>
        <v>25.84193276316713</v>
      </c>
      <c r="O74" s="7">
        <f t="shared" si="4"/>
        <v>0.08452173913043479</v>
      </c>
      <c r="P74" s="7">
        <f t="shared" si="5"/>
        <v>-25.84193276316713</v>
      </c>
      <c r="R74" s="7"/>
    </row>
    <row r="75" spans="1:18" ht="12.75">
      <c r="A75" s="138" t="s">
        <v>303</v>
      </c>
      <c r="B75" s="7"/>
      <c r="C75" s="7"/>
      <c r="D75" s="7">
        <f t="shared" si="0"/>
        <v>480</v>
      </c>
      <c r="E75" s="7">
        <v>2.5</v>
      </c>
      <c r="F75" s="15">
        <v>0.9</v>
      </c>
      <c r="G75" s="15">
        <v>0.9</v>
      </c>
      <c r="H75" s="16">
        <f t="shared" si="6"/>
        <v>7.394547325102881</v>
      </c>
      <c r="I75" s="7"/>
      <c r="J75" s="7">
        <f>L75*'600A Delta sht2'!G75</f>
        <v>6.655092592592593</v>
      </c>
      <c r="K75" s="7">
        <f>(L75^2-J75^2)^0.5</f>
        <v>3.223208452335246</v>
      </c>
      <c r="L75" s="7">
        <f>'600A Delta sht2'!H75</f>
        <v>7.394547325102881</v>
      </c>
      <c r="M75" s="7">
        <f>ASIN(K75/L75)</f>
        <v>0.4510268117962625</v>
      </c>
      <c r="N75" s="7">
        <f>M75*360/(2*PI())</f>
        <v>25.84193276316713</v>
      </c>
      <c r="O75" s="7">
        <f>1/L75</f>
        <v>0.13523478260869565</v>
      </c>
      <c r="P75" s="7">
        <f>-N75</f>
        <v>-25.84193276316713</v>
      </c>
      <c r="R75" s="7"/>
    </row>
    <row r="76" spans="1:16" ht="12.75">
      <c r="A76" t="s">
        <v>67</v>
      </c>
      <c r="B76" s="7"/>
      <c r="C76" s="7"/>
      <c r="D76" s="7">
        <f t="shared" si="0"/>
        <v>480</v>
      </c>
      <c r="E76" s="7">
        <v>50</v>
      </c>
      <c r="F76" s="15">
        <v>0.93</v>
      </c>
      <c r="G76" s="15">
        <v>0.95</v>
      </c>
      <c r="H76" s="16">
        <f t="shared" si="6"/>
        <v>135.58762497641953</v>
      </c>
      <c r="I76" s="7"/>
      <c r="J76" s="7">
        <f>L76*'600A Delta sht2'!G76</f>
        <v>128.80824372759855</v>
      </c>
      <c r="K76" s="7">
        <f t="shared" si="1"/>
        <v>42.33722232926669</v>
      </c>
      <c r="L76" s="7">
        <f>'600A Delta sht2'!H76</f>
        <v>135.58762497641953</v>
      </c>
      <c r="M76" s="7">
        <f t="shared" si="2"/>
        <v>0.3175604292915218</v>
      </c>
      <c r="N76" s="7">
        <f t="shared" si="3"/>
        <v>18.1948723387668</v>
      </c>
      <c r="O76" s="7">
        <f t="shared" si="4"/>
        <v>0.0073753043478260874</v>
      </c>
      <c r="P76" s="7">
        <f t="shared" si="5"/>
        <v>-18.1948723387668</v>
      </c>
    </row>
    <row r="77" spans="1:16" ht="12.75">
      <c r="A77" t="s">
        <v>68</v>
      </c>
      <c r="B77" s="7"/>
      <c r="C77" s="7"/>
      <c r="D77" s="7">
        <f t="shared" si="0"/>
        <v>480</v>
      </c>
      <c r="E77" s="7">
        <v>70</v>
      </c>
      <c r="F77" s="15">
        <v>0.94</v>
      </c>
      <c r="G77" s="15">
        <v>0.95</v>
      </c>
      <c r="H77" s="16">
        <f t="shared" si="6"/>
        <v>187.80328480776413</v>
      </c>
      <c r="I77" s="7"/>
      <c r="J77" s="7">
        <f>L77*'600A Delta sht2'!G77</f>
        <v>178.41312056737593</v>
      </c>
      <c r="K77" s="7">
        <f t="shared" si="1"/>
        <v>58.641556885856524</v>
      </c>
      <c r="L77" s="7">
        <f>'600A Delta sht2'!H77</f>
        <v>187.80328480776413</v>
      </c>
      <c r="M77" s="7">
        <f t="shared" si="2"/>
        <v>0.3175604292915211</v>
      </c>
      <c r="N77" s="7">
        <f t="shared" si="3"/>
        <v>18.194872338766764</v>
      </c>
      <c r="O77" s="7">
        <f t="shared" si="4"/>
        <v>0.005324720496894409</v>
      </c>
      <c r="P77" s="7">
        <f t="shared" si="5"/>
        <v>-18.194872338766764</v>
      </c>
    </row>
    <row r="79" spans="1:11" ht="12.75">
      <c r="A79" s="7" t="s">
        <v>45</v>
      </c>
      <c r="B79" s="7">
        <v>1.15</v>
      </c>
      <c r="H79" s="16"/>
      <c r="J79" s="132"/>
      <c r="K79" s="7"/>
    </row>
    <row r="81" spans="1:2" ht="12.75">
      <c r="A81" t="s">
        <v>10</v>
      </c>
      <c r="B81">
        <v>480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L1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0.00390625" style="0" customWidth="1"/>
    <col min="2" max="2" width="7.7109375" style="0" customWidth="1"/>
    <col min="5" max="5" width="10.421875" style="0" customWidth="1"/>
    <col min="8" max="8" width="20.57421875" style="0" customWidth="1"/>
    <col min="9" max="9" width="12.00390625" style="0" customWidth="1"/>
    <col min="11" max="11" width="20.7109375" style="0" customWidth="1"/>
    <col min="17" max="17" width="10.28125" style="0" customWidth="1"/>
    <col min="18" max="18" width="17.28125" style="0" customWidth="1"/>
  </cols>
  <sheetData>
    <row r="1" spans="1:64" ht="12.75">
      <c r="A1" s="1" t="s">
        <v>44</v>
      </c>
      <c r="B1" s="1" t="s">
        <v>22</v>
      </c>
      <c r="D1" t="s">
        <v>76</v>
      </c>
      <c r="AA1" s="7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2.75">
      <c r="A2" s="1"/>
      <c r="B2" s="1"/>
      <c r="AA2" s="7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2" t="s">
        <v>73</v>
      </c>
      <c r="B3" s="3">
        <v>1</v>
      </c>
      <c r="D3" s="12" t="s">
        <v>80</v>
      </c>
      <c r="AA3" s="7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>
      <c r="A4" s="2" t="s">
        <v>72</v>
      </c>
      <c r="B4" s="3"/>
      <c r="AA4" s="7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" t="s">
        <v>0</v>
      </c>
      <c r="B5" s="3"/>
      <c r="D5" s="13" t="s">
        <v>52</v>
      </c>
      <c r="AA5" s="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136" t="s">
        <v>292</v>
      </c>
      <c r="B6" s="3"/>
      <c r="D6" s="13"/>
      <c r="AA6" s="7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2" t="s">
        <v>2</v>
      </c>
      <c r="B7" s="3"/>
      <c r="D7" t="s">
        <v>53</v>
      </c>
      <c r="AA7" s="7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2" t="s">
        <v>6</v>
      </c>
      <c r="B8" s="3"/>
      <c r="D8" t="s">
        <v>60</v>
      </c>
      <c r="AA8" s="7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2" t="s">
        <v>3</v>
      </c>
      <c r="B9" s="3"/>
      <c r="D9" t="s">
        <v>54</v>
      </c>
      <c r="AA9" s="7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2" t="s">
        <v>4</v>
      </c>
      <c r="B10" s="3"/>
      <c r="AA10" s="7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36" t="s">
        <v>293</v>
      </c>
      <c r="B11" s="3"/>
      <c r="D11" s="12" t="s">
        <v>55</v>
      </c>
      <c r="AA11" s="7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136" t="s">
        <v>5</v>
      </c>
      <c r="B12" s="3"/>
      <c r="D12" t="s">
        <v>279</v>
      </c>
      <c r="AA12" s="7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>
      <c r="A13" s="136" t="s">
        <v>294</v>
      </c>
      <c r="B13" s="3"/>
      <c r="AA13" s="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>
      <c r="A14" s="2"/>
      <c r="B14" s="1"/>
      <c r="D14" t="s">
        <v>77</v>
      </c>
      <c r="AA14" s="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2" t="s">
        <v>74</v>
      </c>
      <c r="B15" s="3"/>
      <c r="AA15" s="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2.75">
      <c r="A16" s="2" t="s">
        <v>71</v>
      </c>
      <c r="B16" s="3"/>
      <c r="D16" t="s">
        <v>58</v>
      </c>
      <c r="AA16" s="7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2.75">
      <c r="A17" s="2" t="s">
        <v>11</v>
      </c>
      <c r="B17" s="3">
        <v>1</v>
      </c>
      <c r="D17" t="s">
        <v>78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136" t="s">
        <v>297</v>
      </c>
      <c r="B18" s="3"/>
      <c r="D18" t="s">
        <v>79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2" t="s">
        <v>12</v>
      </c>
      <c r="B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2" t="s">
        <v>1</v>
      </c>
      <c r="B20" s="3"/>
      <c r="D20" t="s">
        <v>56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>
      <c r="A21" s="2" t="s">
        <v>13</v>
      </c>
      <c r="B21" s="3"/>
      <c r="D21" t="s">
        <v>57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2" t="s">
        <v>14</v>
      </c>
      <c r="B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>
      <c r="A23" s="136" t="s">
        <v>298</v>
      </c>
      <c r="B23" s="3"/>
      <c r="D23" t="s">
        <v>281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136" t="s">
        <v>15</v>
      </c>
      <c r="B24" s="3"/>
      <c r="D24" t="s">
        <v>282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>
      <c r="A25" s="136" t="s">
        <v>295</v>
      </c>
      <c r="B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>
      <c r="A26" s="2"/>
      <c r="B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>
      <c r="A27" s="2" t="s">
        <v>75</v>
      </c>
      <c r="B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>
      <c r="A28" s="2" t="s">
        <v>70</v>
      </c>
      <c r="B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>
      <c r="A29" s="2" t="s">
        <v>16</v>
      </c>
      <c r="B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136" t="s">
        <v>299</v>
      </c>
      <c r="B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>
      <c r="A31" s="2" t="s">
        <v>17</v>
      </c>
      <c r="B31" s="3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>
      <c r="A32" s="2" t="s">
        <v>18</v>
      </c>
      <c r="B32" s="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>
      <c r="A33" s="2" t="s">
        <v>19</v>
      </c>
      <c r="B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>
      <c r="A34" s="2" t="s">
        <v>20</v>
      </c>
      <c r="B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36" t="s">
        <v>300</v>
      </c>
      <c r="B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>
      <c r="A36" s="136" t="s">
        <v>21</v>
      </c>
      <c r="B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136" t="s">
        <v>296</v>
      </c>
      <c r="B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2"/>
      <c r="B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4" t="s">
        <v>59</v>
      </c>
      <c r="B39" s="1">
        <f>SUM(B3:B37)</f>
        <v>3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6" t="s">
        <v>41</v>
      </c>
      <c r="B41" s="4">
        <f>'800A Delta sht2'!D61</f>
        <v>239.74428265053166</v>
      </c>
      <c r="C41" s="5">
        <f>B41/800</f>
        <v>0.29968035331316456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6" t="s">
        <v>42</v>
      </c>
      <c r="B42" s="4">
        <f>'800A Delta sht2'!D62</f>
        <v>221.21463928476854</v>
      </c>
      <c r="C42" s="5">
        <f>B42/800</f>
        <v>0.27651829910596065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6" t="s">
        <v>43</v>
      </c>
      <c r="B43" s="4">
        <f>'800A Delta sht2'!D63</f>
        <v>120.4678091505928</v>
      </c>
      <c r="C43" s="5">
        <f>B43/800</f>
        <v>0.150584761438241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6" t="s">
        <v>40</v>
      </c>
      <c r="B45" s="4">
        <f>'800A Delta sht2'!E29+'800A Delta sht2'!E42+'800A Delta sht2'!E56</f>
        <v>326.0830119032807</v>
      </c>
      <c r="C45" s="5">
        <f>B45/'800A Delta sht2'!C13</f>
        <v>0.2353301433756538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4:6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4:6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4:64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81"/>
  <sheetViews>
    <sheetView zoomScalePageLayoutView="0" workbookViewId="0" topLeftCell="A17">
      <selection activeCell="B17" sqref="B17"/>
    </sheetView>
  </sheetViews>
  <sheetFormatPr defaultColWidth="9.140625" defaultRowHeight="12.75"/>
  <cols>
    <col min="1" max="1" width="16.00390625" style="0" customWidth="1"/>
    <col min="3" max="3" width="9.00390625" style="0" customWidth="1"/>
    <col min="8" max="8" width="15.140625" style="0" customWidth="1"/>
  </cols>
  <sheetData>
    <row r="1" ht="12.75">
      <c r="R1" s="7"/>
    </row>
    <row r="2" ht="12.75">
      <c r="R2" s="7"/>
    </row>
    <row r="3" ht="12.75">
      <c r="R3" s="7"/>
    </row>
    <row r="4" ht="12.75">
      <c r="R4" s="7"/>
    </row>
    <row r="5" ht="12.75">
      <c r="R5" s="7"/>
    </row>
    <row r="6" ht="12.75">
      <c r="R6" s="7"/>
    </row>
    <row r="7" ht="12.75">
      <c r="R7" s="7"/>
    </row>
    <row r="8" ht="12.75">
      <c r="R8" s="7"/>
    </row>
    <row r="9" spans="3:18" ht="12.7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10" t="s">
        <v>47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7" t="s">
        <v>48</v>
      </c>
      <c r="B12" s="7"/>
      <c r="C12" s="8">
        <f>480*800*3/3^0.5</f>
        <v>665107.5101064489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7" t="s">
        <v>49</v>
      </c>
      <c r="B13" s="7"/>
      <c r="C13" s="8">
        <f>C12/480</f>
        <v>1385.6406460551018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10" t="s">
        <v>50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7" t="s">
        <v>44</v>
      </c>
      <c r="B16" s="7"/>
      <c r="C16" s="7"/>
      <c r="D16" s="7"/>
      <c r="E16" s="7" t="s">
        <v>26</v>
      </c>
      <c r="F16" s="7" t="s">
        <v>30</v>
      </c>
      <c r="G16" s="7" t="s">
        <v>27</v>
      </c>
      <c r="H16" s="7" t="s">
        <v>28</v>
      </c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11" t="s">
        <v>73</v>
      </c>
      <c r="B18" s="7">
        <f>'800A Delta'!B3</f>
        <v>1</v>
      </c>
      <c r="C18" s="7"/>
      <c r="D18" s="7"/>
      <c r="E18" s="7">
        <f>'800A Delta'!B3*'800A Delta sht2'!$L$77</f>
        <v>187.80328480776413</v>
      </c>
      <c r="F18" s="7">
        <f>IF('800A Delta'!B3&gt;0,'800A Delta sht2'!$N$77,"")</f>
        <v>18.194872338766764</v>
      </c>
      <c r="G18" s="7">
        <f>IF('800A Delta'!B3&gt;0,E18*COS(2*PI()*F18/360),"")</f>
        <v>178.41312056737593</v>
      </c>
      <c r="H18" s="7">
        <f>IF('800A Delta'!B3&gt;0,E18*SIN(2*PI()*F18/360),"")</f>
        <v>58.641556885856524</v>
      </c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11" t="s">
        <v>72</v>
      </c>
      <c r="B19" s="7">
        <f>'800A Delta'!B4</f>
        <v>0</v>
      </c>
      <c r="C19" s="7"/>
      <c r="D19" s="7"/>
      <c r="E19" s="7">
        <f>'800A Delta'!B4*'800A Delta sht2'!$L$76</f>
        <v>0</v>
      </c>
      <c r="F19" s="7">
        <f>IF('800A Delta'!B4&gt;0,'800A Delta sht2'!$N$76,"")</f>
      </c>
      <c r="G19" s="7">
        <f>IF('800A Delta'!B4&gt;0,E19*COS(2*PI()*F19/360),"")</f>
      </c>
      <c r="H19" s="7">
        <f>IF('800A Delta'!B4&gt;0,E19*SIN(2*PI()*F19/360),"")</f>
      </c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11" t="s">
        <v>0</v>
      </c>
      <c r="B20" s="7">
        <f>'800A Delta'!B5</f>
        <v>0</v>
      </c>
      <c r="C20" s="7"/>
      <c r="D20" s="7"/>
      <c r="E20" s="7">
        <f>'800A Delta'!B5*'800A Delta sht2'!$L$67</f>
        <v>0</v>
      </c>
      <c r="F20" s="7">
        <f>IF('800A Delta'!B5&gt;0,'800A Delta sht2'!$N$67,"")</f>
      </c>
      <c r="G20" s="7">
        <f>IF('800A Delta'!B5&gt;0,E20*COS(2*PI()*F20/360),"")</f>
      </c>
      <c r="H20" s="7">
        <f>IF('800A Delta'!B5&gt;0,E20*SIN(2*PI()*F20/360),"")</f>
      </c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137" t="s">
        <v>292</v>
      </c>
      <c r="B21" s="7">
        <f>'800A Delta'!B6</f>
        <v>0</v>
      </c>
      <c r="C21" s="7"/>
      <c r="D21" s="7"/>
      <c r="E21" s="7">
        <f>'800A Delta'!B6*'800A Delta sht2'!$L$68</f>
        <v>0</v>
      </c>
      <c r="F21" s="7">
        <f>IF('800A Delta'!B6&gt;0,'800A Delta sht2'!$N$68,"")</f>
      </c>
      <c r="G21" s="7">
        <f>IF('800A Delta'!B6&gt;0,E21*COS(2*PI()*F21/360),"")</f>
      </c>
      <c r="H21" s="7">
        <f>IF('800A Delta'!B6&gt;0,E21*SIN(2*PI()*F21/360),"")</f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11" t="s">
        <v>2</v>
      </c>
      <c r="B22" s="7">
        <f>'800A Delta'!B7</f>
        <v>0</v>
      </c>
      <c r="C22" s="7"/>
      <c r="D22" s="7"/>
      <c r="E22" s="7">
        <f>'800A Delta'!B7*'800A Delta sht2'!$L$69</f>
        <v>0</v>
      </c>
      <c r="F22" s="7">
        <f>IF('800A Delta'!B7&gt;0,'800A Delta sht2'!$N$69,"")</f>
      </c>
      <c r="G22" s="7">
        <f>IF('800A Delta'!B7&gt;0,E22*COS(2*PI()*F22/360),"")</f>
      </c>
      <c r="H22" s="7">
        <f>IF('800A Delta'!B7&gt;0,E22*SIN(2*PI()*F22/360),"")</f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11" t="s">
        <v>6</v>
      </c>
      <c r="B23" s="7">
        <f>'800A Delta'!B8</f>
        <v>0</v>
      </c>
      <c r="C23" s="7"/>
      <c r="D23" s="7"/>
      <c r="E23" s="7">
        <f>'800A Delta'!B8*'800A Delta sht2'!$L$70</f>
        <v>0</v>
      </c>
      <c r="F23" s="7">
        <f>IF('800A Delta'!B8&gt;0,'800A Delta sht2'!$N$70,"")</f>
      </c>
      <c r="G23" s="7">
        <f>IF('800A Delta'!B8&gt;0,E23*COS(2*PI()*F23/360),"")</f>
      </c>
      <c r="H23" s="7">
        <f>IF('800A Delta'!B8&gt;0,E23*SIN(2*PI()*F23/360),"")</f>
      </c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11" t="s">
        <v>3</v>
      </c>
      <c r="B24" s="7">
        <f>'800A Delta'!B9</f>
        <v>0</v>
      </c>
      <c r="C24" s="7"/>
      <c r="D24" s="7"/>
      <c r="E24" s="7">
        <f>'800A Delta'!B9*'800A Delta sht2'!$L$71</f>
        <v>0</v>
      </c>
      <c r="F24" s="7">
        <f>IF('800A Delta'!B9&gt;0,'800A Delta sht2'!$N$71,"")</f>
      </c>
      <c r="G24" s="7">
        <f>IF('800A Delta'!B9&gt;0,E24*COS(2*PI()*F24/360),"")</f>
      </c>
      <c r="H24" s="7">
        <f>IF('800A Delta'!B9&gt;0,E24*SIN(2*PI()*F24/360),"")</f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11" t="s">
        <v>4</v>
      </c>
      <c r="B25" s="7">
        <f>'800A Delta'!B10</f>
        <v>0</v>
      </c>
      <c r="C25" s="7"/>
      <c r="D25" s="7"/>
      <c r="E25" s="7">
        <f>'800A Delta'!B10*'800A Delta sht2'!$L$72</f>
        <v>0</v>
      </c>
      <c r="F25" s="7">
        <f>IF('800A Delta'!B10&gt;0,'800A Delta sht2'!$N$72,"")</f>
      </c>
      <c r="G25" s="7">
        <f>IF('800A Delta'!B10&gt;0,E25*COS(2*PI()*F25/360),"")</f>
      </c>
      <c r="H25" s="7">
        <f>IF('800A Delta'!B10&gt;0,E25*SIN(2*PI()*F25/360),"")</f>
      </c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137" t="s">
        <v>293</v>
      </c>
      <c r="B26" s="7">
        <f>'800A Delta'!B11</f>
        <v>0</v>
      </c>
      <c r="C26" s="7"/>
      <c r="D26" s="7"/>
      <c r="E26" s="7">
        <f>'800A Delta'!B11*'800A Delta sht2'!$L$73</f>
        <v>0</v>
      </c>
      <c r="F26" s="7">
        <f>IF('800A Delta'!B11&gt;0,'800A Delta sht2'!$N$73,"")</f>
      </c>
      <c r="G26" s="7">
        <f>IF('800A Delta'!B11&gt;0,E26*COS(2*PI()*F26/360),"")</f>
      </c>
      <c r="H26" s="7">
        <f>IF('800A Delta'!B11&gt;0,E26*SIN(2*PI()*F26/360),"")</f>
      </c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11" t="s">
        <v>5</v>
      </c>
      <c r="B27" s="7">
        <f>'800A Delta'!B12</f>
        <v>0</v>
      </c>
      <c r="C27" s="7"/>
      <c r="D27" s="7"/>
      <c r="E27" s="7">
        <f>'800A Delta'!B12*'800A Delta sht2'!$L$74</f>
        <v>0</v>
      </c>
      <c r="F27" s="7">
        <f>IF('800A Delta'!B12&gt;0,'800A Delta sht2'!$N$74,"")</f>
      </c>
      <c r="G27" s="7">
        <f>IF('800A Delta'!B12&gt;0,E27*COS(2*PI()*F27/360),"")</f>
      </c>
      <c r="H27" s="7">
        <f>IF('800A Delta'!B12&gt;0,E27*SIN(2*PI()*F27/360),"")</f>
      </c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137" t="s">
        <v>294</v>
      </c>
      <c r="B28" s="7">
        <f>'800A Delta'!B13</f>
        <v>0</v>
      </c>
      <c r="C28" s="7"/>
      <c r="D28" s="7"/>
      <c r="E28" s="7">
        <f>'800A Delta'!B13*'800A Delta sht2'!$L$75</f>
        <v>0</v>
      </c>
      <c r="F28" s="7">
        <f>IF('800A Delta'!B13&gt;0,'800A Delta sht2'!$N$75,"")</f>
      </c>
      <c r="G28" s="7">
        <f>IF('800A Delta'!B13&gt;0,E28*COS(2*PI()*F28/360),"")</f>
      </c>
      <c r="H28" s="7">
        <f>IF('800A Delta'!B13&gt;0,E28*SIN(2*PI()*F28/360),"")</f>
      </c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11" t="s">
        <v>34</v>
      </c>
      <c r="B29" s="7"/>
      <c r="C29" s="7"/>
      <c r="D29" s="7"/>
      <c r="E29" s="7">
        <f>(G29^2+H29^2)^0.5</f>
        <v>187.80328480776413</v>
      </c>
      <c r="F29" s="7">
        <f>ASIN(H29/E29)*360/(2*PI())</f>
        <v>18.194872338766764</v>
      </c>
      <c r="G29" s="7">
        <f>SUM(G18:G28)</f>
        <v>178.41312056737593</v>
      </c>
      <c r="H29" s="7">
        <f>SUM(H18:H28)</f>
        <v>58.641556885856524</v>
      </c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11" t="s">
        <v>74</v>
      </c>
      <c r="B31" s="7">
        <f>'800A Delta'!B15</f>
        <v>0</v>
      </c>
      <c r="C31" s="7"/>
      <c r="D31" s="7"/>
      <c r="E31" s="7">
        <f>'800A Delta'!B15*'800A Delta sht2'!$L$77</f>
        <v>0</v>
      </c>
      <c r="F31" s="7">
        <f>IF('800A Delta'!B15&gt;0,'800A Delta sht2'!$N$77,"")</f>
      </c>
      <c r="G31" s="7">
        <f>IF('800A Delta'!B15&gt;0,E31*COS(2*PI()*F31/360),"")</f>
      </c>
      <c r="H31" s="7">
        <f>IF('800A Delta'!B15&gt;0,E31*SIN(2*PI()*F31/360),"")</f>
      </c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11" t="s">
        <v>71</v>
      </c>
      <c r="B32" s="7">
        <f>'800A Delta'!B16</f>
        <v>0</v>
      </c>
      <c r="C32" s="7"/>
      <c r="D32" s="7"/>
      <c r="E32" s="7">
        <f>'800A Delta'!B16*'800A Delta sht2'!$L$76</f>
        <v>0</v>
      </c>
      <c r="F32" s="7">
        <f>IF('800A Delta'!B16&gt;0,'800A Delta sht2'!$N$76,"")</f>
      </c>
      <c r="G32" s="7">
        <f>IF('800A Delta'!B16&gt;0,E32*COS(2*PI()*F32/360),"")</f>
      </c>
      <c r="H32" s="7">
        <f>IF('800A Delta'!B16&gt;0,E32*SIN(2*PI()*F32/360),"")</f>
      </c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11" t="s">
        <v>11</v>
      </c>
      <c r="B33" s="7">
        <f>'800A Delta'!B17</f>
        <v>1</v>
      </c>
      <c r="C33" s="7"/>
      <c r="D33" s="7"/>
      <c r="E33" s="7">
        <f>'800A Delta'!B17*'800A Delta sht2'!$L$67</f>
        <v>82.23684210526316</v>
      </c>
      <c r="F33" s="7">
        <f>IF('800A Delta'!B17&gt;0,'800A Delta sht2'!$N$67,"")</f>
        <v>18.194872338766793</v>
      </c>
      <c r="G33" s="7">
        <f>IF('800A Delta'!B17&gt;0,E33*COS(2*PI()*F33/360),"")</f>
        <v>78.125</v>
      </c>
      <c r="H33" s="7">
        <f>IF('800A Delta'!B17&gt;0,E33*SIN(2*PI()*F33/360),"")</f>
        <v>25.678445717098697</v>
      </c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137" t="s">
        <v>297</v>
      </c>
      <c r="B34" s="7">
        <f>'800A Delta'!B18</f>
        <v>0</v>
      </c>
      <c r="C34" s="7"/>
      <c r="D34" s="7"/>
      <c r="E34" s="7">
        <f>'800A Delta'!B18*'800A Delta sht2'!$L$68</f>
        <v>0</v>
      </c>
      <c r="F34" s="7">
        <f>IF('800A Delta'!B18&gt;0,'800A Delta sht2'!$N$68,"")</f>
      </c>
      <c r="G34" s="7">
        <f>IF('800A Delta'!B18&gt;0,E34*COS(2*PI()*F34/360),"")</f>
      </c>
      <c r="H34" s="7">
        <f>IF('800A Delta'!B18&gt;0,E34*SIN(2*PI()*F34/360),"")</f>
      </c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11" t="s">
        <v>12</v>
      </c>
      <c r="B35" s="7">
        <f>'800A Delta'!B19</f>
        <v>0</v>
      </c>
      <c r="C35" s="7"/>
      <c r="D35" s="7"/>
      <c r="E35" s="7">
        <f>'800A Delta'!B19*'800A Delta sht2'!$L$69</f>
        <v>0</v>
      </c>
      <c r="F35" s="7">
        <f>IF('800A Delta'!B19&gt;0,'800A Delta sht2'!$N$69,"")</f>
      </c>
      <c r="G35" s="7">
        <f>IF('800A Delta'!B19&gt;0,E35*COS(2*PI()*F35/360),"")</f>
      </c>
      <c r="H35" s="7">
        <f>IF('800A Delta'!B19&gt;0,E35*SIN(2*PI()*F35/360),"")</f>
      </c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11" t="s">
        <v>1</v>
      </c>
      <c r="B36" s="7">
        <f>'800A Delta'!B20</f>
        <v>0</v>
      </c>
      <c r="C36" s="7"/>
      <c r="D36" s="7"/>
      <c r="E36" s="7">
        <f>'800A Delta'!B20*'800A Delta sht2'!$L$70</f>
        <v>0</v>
      </c>
      <c r="F36" s="7">
        <f>IF('800A Delta'!B20&gt;0,'800A Delta sht2'!$N$70,"")</f>
      </c>
      <c r="G36" s="7">
        <f>IF('800A Delta'!B20&gt;0,E36*COS(2*PI()*F36/360),"")</f>
      </c>
      <c r="H36" s="7">
        <f>IF('800A Delta'!B20&gt;0,E36*SIN(2*PI()*F36/360),"")</f>
      </c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11" t="s">
        <v>13</v>
      </c>
      <c r="B37" s="7">
        <f>'800A Delta'!B21</f>
        <v>0</v>
      </c>
      <c r="C37" s="7"/>
      <c r="D37" s="7"/>
      <c r="E37" s="7">
        <f>'800A Delta'!B21*'800A Delta sht2'!$L$71</f>
        <v>0</v>
      </c>
      <c r="F37" s="7">
        <f>IF('800A Delta'!B21&gt;0,'800A Delta sht2'!$N$71,"")</f>
      </c>
      <c r="G37" s="7">
        <f>IF('800A Delta'!B21&gt;0,E37*COS(2*PI()*F37/360),"")</f>
      </c>
      <c r="H37" s="7">
        <f>IF('800A Delta'!B21&gt;0,E37*SIN(2*PI()*F37/360),"")</f>
      </c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11" t="s">
        <v>14</v>
      </c>
      <c r="B38" s="7">
        <f>'800A Delta'!B22</f>
        <v>0</v>
      </c>
      <c r="C38" s="7"/>
      <c r="D38" s="7"/>
      <c r="E38" s="7">
        <f>'800A Delta'!B22*'800A Delta sht2'!$L$72</f>
        <v>0</v>
      </c>
      <c r="F38" s="7">
        <f>IF('800A Delta'!B22&gt;0,'800A Delta sht2'!$N$72,"")</f>
      </c>
      <c r="G38" s="7">
        <f>IF('800A Delta'!B22&gt;0,E38*COS(2*PI()*F38/360),"")</f>
      </c>
      <c r="H38" s="7">
        <f>IF('800A Delta'!B22&gt;0,E38*SIN(2*PI()*F38/360),"")</f>
      </c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137" t="s">
        <v>298</v>
      </c>
      <c r="B39" s="7">
        <f>'800A Delta'!B23</f>
        <v>0</v>
      </c>
      <c r="C39" s="7"/>
      <c r="D39" s="7"/>
      <c r="E39" s="7">
        <f>'800A Delta'!B23*'800A Delta sht2'!$L$73</f>
        <v>0</v>
      </c>
      <c r="F39" s="7">
        <f>IF('800A Delta'!B23&gt;0,'800A Delta sht2'!$N$73,"")</f>
      </c>
      <c r="G39" s="7">
        <f>IF('800A Delta'!B23&gt;0,E39*COS(2*PI()*F39/360),"")</f>
      </c>
      <c r="H39" s="7">
        <f>IF('800A Delta'!B23&gt;0,E39*SIN(2*PI()*F39/360),"")</f>
      </c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11" t="s">
        <v>15</v>
      </c>
      <c r="B40" s="7">
        <f>'800A Delta'!B24</f>
        <v>0</v>
      </c>
      <c r="C40" s="7"/>
      <c r="D40" s="7"/>
      <c r="E40" s="7">
        <f>'800A Delta'!B24*'800A Delta sht2'!$L$74</f>
        <v>0</v>
      </c>
      <c r="F40" s="7">
        <f>IF('800A Delta'!B24&gt;0,'800A Delta sht2'!$N$74,"")</f>
      </c>
      <c r="G40" s="7">
        <f>IF('800A Delta'!B24&gt;0,E40*COS(2*PI()*F40/360),"")</f>
      </c>
      <c r="H40" s="7">
        <f>IF('800A Delta'!B24&gt;0,E40*SIN(2*PI()*F40/360),"")</f>
      </c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137" t="s">
        <v>295</v>
      </c>
      <c r="B41" s="7">
        <f>'800A Delta'!B25</f>
        <v>0</v>
      </c>
      <c r="C41" s="7"/>
      <c r="D41" s="7"/>
      <c r="E41" s="7">
        <f>'800A Delta'!B25*'800A Delta sht2'!$L$75</f>
        <v>0</v>
      </c>
      <c r="F41" s="7">
        <f>IF('800A Delta'!B25&gt;0,'800A Delta sht2'!$N$75,"")</f>
      </c>
      <c r="G41" s="7">
        <f>IF('800A Delta'!B25&gt;0,E41*COS(2*PI()*F41/360),"")</f>
      </c>
      <c r="H41" s="7">
        <f>IF('800A Delta'!B25&gt;0,E41*SIN(2*PI()*F41/360),"")</f>
      </c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11" t="s">
        <v>35</v>
      </c>
      <c r="B42" s="7"/>
      <c r="C42" s="7"/>
      <c r="D42" s="7"/>
      <c r="E42" s="7">
        <f>(G42^2+H42^2)^0.5</f>
        <v>82.23684210526316</v>
      </c>
      <c r="F42" s="7">
        <f>ASIN(H42/E42)*360/(2*PI())</f>
        <v>18.19487233876679</v>
      </c>
      <c r="G42" s="7">
        <f>SUM(G31:G41)</f>
        <v>78.125</v>
      </c>
      <c r="H42" s="7">
        <f>SUM(H31:H41)</f>
        <v>25.678445717098697</v>
      </c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11" t="s">
        <v>38</v>
      </c>
      <c r="B43" s="7"/>
      <c r="C43" s="7"/>
      <c r="D43" s="7"/>
      <c r="E43" s="7"/>
      <c r="F43" s="7">
        <f>F42-120</f>
        <v>-101.80512766123321</v>
      </c>
      <c r="G43" s="7">
        <f>E42*COS(F43*2*PI()/360)</f>
        <v>-16.824313679292818</v>
      </c>
      <c r="H43" s="7">
        <f>E42*SIN(2*PI()*F43/360)</f>
        <v>-80.49745752920862</v>
      </c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11" t="s">
        <v>75</v>
      </c>
      <c r="B45" s="7">
        <f>'800A Delta'!B27</f>
        <v>0</v>
      </c>
      <c r="C45" s="7"/>
      <c r="D45" s="7"/>
      <c r="E45" s="7">
        <f>'800A Delta'!B27*'800A Delta sht2'!$L$77</f>
        <v>0</v>
      </c>
      <c r="F45" s="7">
        <f>IF('800A Delta'!B27&gt;0,'800A Delta sht2'!$N$77,"")</f>
      </c>
      <c r="G45" s="7">
        <f>IF('800A Delta'!B27&gt;0,E45*COS(2*PI()*F45/360),"")</f>
      </c>
      <c r="H45" s="7">
        <f>IF('800A Delta'!B27&gt;0,E45*SIN(2*PI()*F45/360),"")</f>
      </c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11" t="s">
        <v>70</v>
      </c>
      <c r="B46" s="7">
        <f>'800A Delta'!B28</f>
        <v>0</v>
      </c>
      <c r="C46" s="7"/>
      <c r="D46" s="7"/>
      <c r="E46" s="7">
        <f>'800A Delta'!B28*'800A Delta sht2'!$L$76</f>
        <v>0</v>
      </c>
      <c r="F46" s="7">
        <f>IF('800A Delta'!B28&gt;0,'800A Delta sht2'!$N$76,"")</f>
      </c>
      <c r="G46" s="7">
        <f>IF('800A Delta'!B28&gt;0,E46*COS(2*PI()*F46/360),"")</f>
      </c>
      <c r="H46" s="7">
        <f>IF('800A Delta'!B28&gt;0,E46*SIN(2*PI()*F46/360),"")</f>
      </c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11" t="s">
        <v>16</v>
      </c>
      <c r="B47" s="7">
        <f>'800A Delta'!B29</f>
        <v>0</v>
      </c>
      <c r="C47" s="7"/>
      <c r="D47" s="7"/>
      <c r="E47" s="7">
        <f>'800A Delta'!B29*'800A Delta sht2'!$L$67</f>
        <v>0</v>
      </c>
      <c r="F47" s="7">
        <f>IF('800A Delta'!B29&gt;0,'800A Delta sht2'!$N$67,"")</f>
      </c>
      <c r="G47" s="7">
        <f>IF('800A Delta'!B29&gt;0,E47*COS(2*PI()*F47/360),"")</f>
      </c>
      <c r="H47" s="7">
        <f>IF('800A Delta'!B29&gt;0,E47*SIN(2*PI()*F47/360),"")</f>
      </c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137" t="s">
        <v>299</v>
      </c>
      <c r="B48" s="7">
        <f>'800A Delta'!B30</f>
        <v>0</v>
      </c>
      <c r="C48" s="7"/>
      <c r="D48" s="7"/>
      <c r="E48" s="7">
        <f>'800A Delta'!B30*'800A Delta sht2'!$L$68</f>
        <v>0</v>
      </c>
      <c r="F48" s="7">
        <f>IF('800A Delta'!B30&gt;0,'800A Delta sht2'!$N$68,"")</f>
      </c>
      <c r="G48" s="7">
        <f>IF('800A Delta'!B30&gt;0,E48*COS(2*PI()*F48/360),"")</f>
      </c>
      <c r="H48" s="7">
        <f>IF('800A Delta'!B30&gt;0,E48*SIN(2*PI()*F48/360),"")</f>
      </c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11" t="s">
        <v>17</v>
      </c>
      <c r="B49" s="7">
        <f>'800A Delta'!B31</f>
        <v>1</v>
      </c>
      <c r="C49" s="7"/>
      <c r="D49" s="7"/>
      <c r="E49" s="7">
        <f>'800A Delta'!B31*'800A Delta sht2'!$L$69</f>
        <v>56.04288499025341</v>
      </c>
      <c r="F49" s="7">
        <f>IF('800A Delta'!B31&gt;0,'800A Delta sht2'!$N$69,"")</f>
        <v>18.194872338766775</v>
      </c>
      <c r="G49" s="7">
        <f>IF('800A Delta'!B31&gt;0,E49*COS(2*PI()*F49/360),"")</f>
        <v>53.24074074074074</v>
      </c>
      <c r="H49" s="7">
        <f>IF('800A Delta'!B31&gt;0,E49*SIN(2*PI()*F49/360),"")</f>
        <v>17.49938522943021</v>
      </c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11" t="s">
        <v>18</v>
      </c>
      <c r="B50" s="7">
        <f>'800A Delta'!B32</f>
        <v>0</v>
      </c>
      <c r="C50" s="7"/>
      <c r="D50" s="7"/>
      <c r="E50" s="7">
        <f>'800A Delta'!B32*'800A Delta sht2'!$L$70</f>
        <v>0</v>
      </c>
      <c r="F50" s="7">
        <f>IF('800A Delta'!B32&gt;0,'800A Delta sht2'!$N$70,"")</f>
      </c>
      <c r="G50" s="7">
        <f>IF('800A Delta'!B32&gt;0,E50*COS(2*PI()*F50/360),"")</f>
      </c>
      <c r="H50" s="7">
        <f>IF('800A Delta'!B32&gt;0,E50*SIN(2*PI()*F50/360),"")</f>
      </c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11" t="s">
        <v>19</v>
      </c>
      <c r="B51" s="7">
        <f>'800A Delta'!B33</f>
        <v>0</v>
      </c>
      <c r="C51" s="7"/>
      <c r="D51" s="7"/>
      <c r="E51" s="7">
        <f>'800A Delta'!B33*'800A Delta sht2'!$L$71</f>
        <v>0</v>
      </c>
      <c r="F51" s="7">
        <f>IF('800A Delta'!B33&gt;0,'800A Delta sht2'!$N$71,"")</f>
      </c>
      <c r="G51" s="7">
        <f>IF('800A Delta'!B33&gt;0,E51*COS(2*PI()*F51/360),"")</f>
      </c>
      <c r="H51" s="7">
        <f>IF('800A Delta'!B33&gt;0,E51*SIN(2*PI()*F51/360),"")</f>
      </c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11" t="s">
        <v>20</v>
      </c>
      <c r="B52" s="7">
        <f>'800A Delta'!B34</f>
        <v>0</v>
      </c>
      <c r="C52" s="7"/>
      <c r="D52" s="7"/>
      <c r="E52" s="7">
        <f>'800A Delta'!B34*'800A Delta sht2'!$L$72</f>
        <v>0</v>
      </c>
      <c r="F52" s="7">
        <f>IF('800A Delta'!B34&gt;0,'800A Delta sht2'!$N$72,"")</f>
      </c>
      <c r="G52" s="7">
        <f>IF('800A Delta'!B34&gt;0,E52*COS(2*PI()*F52/360),"")</f>
      </c>
      <c r="H52" s="7">
        <f>IF('800A Delta'!B34&gt;0,E52*SIN(2*PI()*F52/360),"")</f>
      </c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137" t="s">
        <v>300</v>
      </c>
      <c r="B53" s="7">
        <f>'800A Delta'!B35</f>
        <v>0</v>
      </c>
      <c r="C53" s="7"/>
      <c r="D53" s="7"/>
      <c r="E53" s="7">
        <f>'800A Delta'!B35*'800A Delta sht2'!$L$73</f>
        <v>0</v>
      </c>
      <c r="F53" s="7">
        <f>IF('800A Delta'!B35&gt;0,'800A Delta sht2'!$N$73,"")</f>
      </c>
      <c r="G53" s="7">
        <f>IF('800A Delta'!B35&gt;0,E53*COS(2*PI()*F53/360),"")</f>
      </c>
      <c r="H53" s="7">
        <f>IF('800A Delta'!B35&gt;0,E53*SIN(2*PI()*F53/360),"")</f>
      </c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11" t="s">
        <v>21</v>
      </c>
      <c r="B54" s="7">
        <f>'800A Delta'!B36</f>
        <v>0</v>
      </c>
      <c r="C54" s="7"/>
      <c r="D54" s="7"/>
      <c r="E54" s="7">
        <f>'800A Delta'!B36*'800A Delta sht2'!$L$74</f>
        <v>0</v>
      </c>
      <c r="F54" s="7">
        <f>IF('800A Delta'!B36&gt;0,'800A Delta sht2'!$N$74,"")</f>
      </c>
      <c r="G54" s="7">
        <f>IF('800A Delta'!B36&gt;0,E54*COS(2*PI()*F54/360),"")</f>
      </c>
      <c r="H54" s="7">
        <f>IF('800A Delta'!B36&gt;0,E54*SIN(2*PI()*F54/360),"")</f>
      </c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137" t="s">
        <v>296</v>
      </c>
      <c r="B55" s="7">
        <f>'800A Delta'!B37</f>
        <v>0</v>
      </c>
      <c r="C55" s="7"/>
      <c r="D55" s="7"/>
      <c r="E55" s="7">
        <f>'800A Delta'!B37*'800A Delta sht2'!$L$75</f>
        <v>0</v>
      </c>
      <c r="F55" s="7">
        <f>IF('800A Delta'!B37&gt;0,'800A Delta sht2'!$N$75,"")</f>
      </c>
      <c r="G55" s="7">
        <f>IF('800A Delta'!B37&gt;0,E55*COS(2*PI()*F55/360),"")</f>
      </c>
      <c r="H55" s="7">
        <f>IF('800A Delta'!B37&gt;0,E55*SIN(2*PI()*F55/360),"")</f>
      </c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11" t="s">
        <v>36</v>
      </c>
      <c r="B56" s="7"/>
      <c r="C56" s="7"/>
      <c r="D56" s="7"/>
      <c r="E56" s="7">
        <f>(G56^2+H56^2)^0.5</f>
        <v>56.04288499025341</v>
      </c>
      <c r="F56" s="7">
        <f>ASIN(H56/E56)*360/(2*PI())</f>
        <v>18.194872338766782</v>
      </c>
      <c r="G56" s="7">
        <f>SUM(G45:G55)</f>
        <v>53.24074074074074</v>
      </c>
      <c r="H56" s="7">
        <f>SUM(H45:H55)</f>
        <v>17.49938522943021</v>
      </c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11" t="s">
        <v>37</v>
      </c>
      <c r="B57" s="7"/>
      <c r="C57" s="7"/>
      <c r="D57" s="7"/>
      <c r="E57" s="7"/>
      <c r="F57" s="7">
        <f>F56+120</f>
        <v>138.19487233876677</v>
      </c>
      <c r="G57" s="7">
        <f>E56*COS(F57*2*PI()/360)</f>
        <v>-41.775282529667095</v>
      </c>
      <c r="H57" s="7">
        <f>E56*SIN(2*PI()*F57/360)</f>
        <v>37.35814138306752</v>
      </c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10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 t="s">
        <v>27</v>
      </c>
      <c r="C60" s="7" t="s">
        <v>28</v>
      </c>
      <c r="D60" s="9" t="s">
        <v>29</v>
      </c>
      <c r="E60" s="7" t="s">
        <v>30</v>
      </c>
      <c r="F60" s="7" t="s">
        <v>39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 t="s">
        <v>23</v>
      </c>
      <c r="B61" s="7">
        <f>'800A Delta sht2'!G29-'800A Delta sht2'!G43</f>
        <v>195.23743424666876</v>
      </c>
      <c r="C61" s="7">
        <f>'800A Delta sht2'!H29-'800A Delta sht2'!H43</f>
        <v>139.13901441506513</v>
      </c>
      <c r="D61" s="9">
        <f>(B61^2+C61^2)^0.5</f>
        <v>239.74428265053166</v>
      </c>
      <c r="E61" s="7">
        <f>ASIN(C61/D61)*360/(2*PI())</f>
        <v>35.4761671855564</v>
      </c>
      <c r="F61" s="7">
        <f>D61/800</f>
        <v>0.29968035331316456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 t="s">
        <v>24</v>
      </c>
      <c r="B62" s="7">
        <f>'800A Delta sht2'!G57-'800A Delta sht2'!G29</f>
        <v>-220.18840309704302</v>
      </c>
      <c r="C62" s="7">
        <f>'800A Delta sht2'!H57-'800A Delta sht2'!H29</f>
        <v>-21.283415502789005</v>
      </c>
      <c r="D62" s="9">
        <f>(B62^2+C62^2)^0.5</f>
        <v>221.21463928476854</v>
      </c>
      <c r="E62" s="7">
        <f>ASIN(C62/D62)*360/(2*PI())</f>
        <v>-5.521059128471054</v>
      </c>
      <c r="F62" s="7">
        <f>D62/800</f>
        <v>0.27651829910596065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2.75">
      <c r="A63" s="7" t="s">
        <v>25</v>
      </c>
      <c r="B63" s="7">
        <f>'800A Delta sht2'!G43-'800A Delta sht2'!G57</f>
        <v>24.950968850374277</v>
      </c>
      <c r="C63" s="7">
        <f>'800A Delta sht2'!H43-'800A Delta sht2'!H57</f>
        <v>-117.85559891227614</v>
      </c>
      <c r="D63" s="9">
        <f>(B63^2+C63^2)^0.5</f>
        <v>120.4678091505928</v>
      </c>
      <c r="E63" s="7">
        <f>ASIN(C63/D63)*360/(2*PI())</f>
        <v>-78.04652734763509</v>
      </c>
      <c r="F63" s="7">
        <f>D63/800</f>
        <v>0.150584761438241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2.75">
      <c r="A65" s="10" t="s">
        <v>51</v>
      </c>
      <c r="B65" s="7"/>
      <c r="C65" s="7"/>
      <c r="D65" s="7"/>
      <c r="E65" s="7"/>
      <c r="F65" s="7"/>
      <c r="G65" s="7"/>
      <c r="H65" s="7"/>
      <c r="I65" s="7"/>
      <c r="J65" s="7" t="s">
        <v>27</v>
      </c>
      <c r="K65" s="7" t="s">
        <v>28</v>
      </c>
      <c r="L65" s="7" t="s">
        <v>29</v>
      </c>
      <c r="M65" s="7" t="s">
        <v>30</v>
      </c>
      <c r="N65" s="7" t="s">
        <v>31</v>
      </c>
      <c r="O65" s="7" t="s">
        <v>32</v>
      </c>
      <c r="P65" s="7"/>
      <c r="R65" s="7"/>
    </row>
    <row r="66" spans="1:18" ht="12.75">
      <c r="A66" s="7"/>
      <c r="B66" s="7"/>
      <c r="C66" s="7"/>
      <c r="D66" s="7" t="s">
        <v>10</v>
      </c>
      <c r="E66" s="7" t="s">
        <v>7</v>
      </c>
      <c r="F66" s="7" t="s">
        <v>9</v>
      </c>
      <c r="G66" s="7" t="s">
        <v>8</v>
      </c>
      <c r="H66" s="7" t="s">
        <v>69</v>
      </c>
      <c r="I66" s="7"/>
      <c r="J66" s="7"/>
      <c r="K66" s="7"/>
      <c r="L66" s="7"/>
      <c r="M66" s="7"/>
      <c r="N66" s="7"/>
      <c r="O66" s="7" t="s">
        <v>29</v>
      </c>
      <c r="P66" s="7" t="s">
        <v>33</v>
      </c>
      <c r="R66" s="7"/>
    </row>
    <row r="67" spans="1:18" ht="12.75">
      <c r="A67" s="7" t="s">
        <v>61</v>
      </c>
      <c r="B67" s="7"/>
      <c r="C67" s="7"/>
      <c r="D67" s="7">
        <f aca="true" t="shared" si="0" ref="D67:D77">$B$81</f>
        <v>480</v>
      </c>
      <c r="E67" s="7">
        <v>30</v>
      </c>
      <c r="F67" s="15">
        <v>0.92</v>
      </c>
      <c r="G67" s="15">
        <v>0.95</v>
      </c>
      <c r="H67" s="8">
        <f>$B$79*E67*1000/(F67*G67*D67)</f>
        <v>82.23684210526316</v>
      </c>
      <c r="I67" s="7"/>
      <c r="J67" s="7">
        <f>L67*'800A Delta sht2'!G67</f>
        <v>78.125</v>
      </c>
      <c r="K67" s="7">
        <f aca="true" t="shared" si="1" ref="K67:K74">(L67^2-J67^2)^0.5</f>
        <v>25.6784457170987</v>
      </c>
      <c r="L67" s="7">
        <f>'800A Delta sht2'!H67</f>
        <v>82.23684210526316</v>
      </c>
      <c r="M67" s="7">
        <f aca="true" t="shared" si="2" ref="M67:M74">ASIN(K67/L67)</f>
        <v>0.3175604292915216</v>
      </c>
      <c r="N67" s="7">
        <f aca="true" t="shared" si="3" ref="N67:N77">M67*360/(2*PI())</f>
        <v>18.194872338766793</v>
      </c>
      <c r="O67" s="7">
        <f aca="true" t="shared" si="4" ref="O67:O74">1/L67</f>
        <v>0.012159999999999999</v>
      </c>
      <c r="P67" s="7">
        <f aca="true" t="shared" si="5" ref="P67:P74">-N67</f>
        <v>-18.194872338766793</v>
      </c>
      <c r="R67" s="7"/>
    </row>
    <row r="68" spans="1:18" ht="12.75">
      <c r="A68" s="138" t="s">
        <v>301</v>
      </c>
      <c r="B68" s="7"/>
      <c r="C68" s="7"/>
      <c r="D68" s="7">
        <f t="shared" si="0"/>
        <v>480</v>
      </c>
      <c r="E68" s="7">
        <v>25</v>
      </c>
      <c r="F68" s="15">
        <v>0.9</v>
      </c>
      <c r="G68" s="15">
        <v>0.95</v>
      </c>
      <c r="H68" s="8">
        <f>$B$79*E68*1000/(F68*G68*D68)</f>
        <v>70.05360623781677</v>
      </c>
      <c r="I68" s="7"/>
      <c r="J68" s="7">
        <f>L68*'800A Delta sht2'!G68</f>
        <v>66.55092592592592</v>
      </c>
      <c r="K68" s="7">
        <f>(L68^2-J68^2)^0.5</f>
        <v>21.874231536787768</v>
      </c>
      <c r="L68" s="7">
        <f>'800A Delta sht2'!H68</f>
        <v>70.05360623781677</v>
      </c>
      <c r="M68" s="7">
        <f>ASIN(K68/L68)</f>
        <v>0.31756042929152145</v>
      </c>
      <c r="N68" s="7">
        <f>M68*360/(2*PI())</f>
        <v>18.194872338766782</v>
      </c>
      <c r="O68" s="7">
        <f>1/L68</f>
        <v>0.014274782608695653</v>
      </c>
      <c r="P68" s="7">
        <f>-N68</f>
        <v>-18.194872338766782</v>
      </c>
      <c r="R68" s="7"/>
    </row>
    <row r="69" spans="1:18" ht="12.75">
      <c r="A69" s="7" t="s">
        <v>62</v>
      </c>
      <c r="B69" s="7"/>
      <c r="C69" s="7"/>
      <c r="D69" s="7">
        <f t="shared" si="0"/>
        <v>480</v>
      </c>
      <c r="E69" s="7">
        <v>20</v>
      </c>
      <c r="F69" s="15">
        <v>0.9</v>
      </c>
      <c r="G69" s="15">
        <v>0.95</v>
      </c>
      <c r="H69" s="8">
        <f>$B$79*E69*1000/(F69*G69*D69)</f>
        <v>56.04288499025341</v>
      </c>
      <c r="I69" s="7"/>
      <c r="J69" s="7">
        <f>L69*'800A Delta sht2'!G69</f>
        <v>53.24074074074074</v>
      </c>
      <c r="K69" s="7">
        <f t="shared" si="1"/>
        <v>17.499385229430207</v>
      </c>
      <c r="L69" s="7">
        <f>'800A Delta sht2'!H69</f>
        <v>56.04288499025341</v>
      </c>
      <c r="M69" s="7">
        <f t="shared" si="2"/>
        <v>0.31756042929152134</v>
      </c>
      <c r="N69" s="7">
        <f t="shared" si="3"/>
        <v>18.194872338766775</v>
      </c>
      <c r="O69" s="7">
        <f t="shared" si="4"/>
        <v>0.017843478260869565</v>
      </c>
      <c r="P69" s="7">
        <f t="shared" si="5"/>
        <v>-18.194872338766775</v>
      </c>
      <c r="R69" s="7"/>
    </row>
    <row r="70" spans="1:18" ht="12.75">
      <c r="A70" s="7" t="s">
        <v>63</v>
      </c>
      <c r="B70" s="7"/>
      <c r="C70" s="7"/>
      <c r="D70" s="7">
        <f t="shared" si="0"/>
        <v>480</v>
      </c>
      <c r="E70" s="7">
        <v>15</v>
      </c>
      <c r="F70" s="15">
        <v>0.9</v>
      </c>
      <c r="G70" s="15">
        <v>0.95</v>
      </c>
      <c r="H70" s="8">
        <f>$B$79*E70*1000/(F70*G70*D70)</f>
        <v>42.03216374269006</v>
      </c>
      <c r="I70" s="7"/>
      <c r="J70" s="7">
        <f>L70*'800A Delta sht2'!G70</f>
        <v>39.93055555555556</v>
      </c>
      <c r="K70" s="7">
        <f t="shared" si="1"/>
        <v>13.12453892207265</v>
      </c>
      <c r="L70" s="7">
        <f>'800A Delta sht2'!H70</f>
        <v>42.03216374269006</v>
      </c>
      <c r="M70" s="7">
        <f t="shared" si="2"/>
        <v>0.3175604292915212</v>
      </c>
      <c r="N70" s="7">
        <f t="shared" si="3"/>
        <v>18.194872338766768</v>
      </c>
      <c r="O70" s="7">
        <f t="shared" si="4"/>
        <v>0.023791304347826087</v>
      </c>
      <c r="P70" s="7">
        <f t="shared" si="5"/>
        <v>-18.194872338766768</v>
      </c>
      <c r="R70" s="7"/>
    </row>
    <row r="71" spans="1:18" ht="12.75">
      <c r="A71" s="7" t="s">
        <v>64</v>
      </c>
      <c r="B71" s="7"/>
      <c r="C71" s="7"/>
      <c r="D71" s="7">
        <f t="shared" si="0"/>
        <v>480</v>
      </c>
      <c r="E71" s="7">
        <v>10</v>
      </c>
      <c r="F71" s="15">
        <v>0.9</v>
      </c>
      <c r="G71" s="15">
        <v>0.9</v>
      </c>
      <c r="H71" s="16">
        <f aca="true" t="shared" si="6" ref="H71:H77">$B$79*E71*1000/(F71*G71*$D$67)</f>
        <v>29.578189300411523</v>
      </c>
      <c r="I71" s="7"/>
      <c r="J71" s="7">
        <f>L71*'800A Delta sht2'!G71</f>
        <v>26.62037037037037</v>
      </c>
      <c r="K71" s="7">
        <f t="shared" si="1"/>
        <v>12.892833809340985</v>
      </c>
      <c r="L71" s="7">
        <f>'800A Delta sht2'!H71</f>
        <v>29.578189300411523</v>
      </c>
      <c r="M71" s="7">
        <f t="shared" si="2"/>
        <v>0.4510268117962625</v>
      </c>
      <c r="N71" s="7">
        <f t="shared" si="3"/>
        <v>25.84193276316713</v>
      </c>
      <c r="O71" s="7">
        <f t="shared" si="4"/>
        <v>0.03380869565217391</v>
      </c>
      <c r="P71" s="7">
        <f t="shared" si="5"/>
        <v>-25.84193276316713</v>
      </c>
      <c r="R71" s="7"/>
    </row>
    <row r="72" spans="1:18" ht="12.75">
      <c r="A72" s="7" t="s">
        <v>65</v>
      </c>
      <c r="B72" s="7"/>
      <c r="C72" s="7"/>
      <c r="D72" s="7">
        <f t="shared" si="0"/>
        <v>480</v>
      </c>
      <c r="E72" s="7">
        <v>7.5</v>
      </c>
      <c r="F72" s="15">
        <v>0.9</v>
      </c>
      <c r="G72" s="15">
        <v>0.9</v>
      </c>
      <c r="H72" s="16">
        <f t="shared" si="6"/>
        <v>22.183641975308642</v>
      </c>
      <c r="I72" s="7"/>
      <c r="J72" s="7">
        <f>L72*'800A Delta sht2'!G72</f>
        <v>19.96527777777778</v>
      </c>
      <c r="K72" s="7">
        <f t="shared" si="1"/>
        <v>9.669625357005739</v>
      </c>
      <c r="L72" s="7">
        <f>'800A Delta sht2'!H72</f>
        <v>22.183641975308642</v>
      </c>
      <c r="M72" s="7">
        <f t="shared" si="2"/>
        <v>0.4510268117962625</v>
      </c>
      <c r="N72" s="7">
        <f t="shared" si="3"/>
        <v>25.84193276316713</v>
      </c>
      <c r="O72" s="7">
        <f t="shared" si="4"/>
        <v>0.04507826086956521</v>
      </c>
      <c r="P72" s="7">
        <f t="shared" si="5"/>
        <v>-25.84193276316713</v>
      </c>
      <c r="R72" s="7"/>
    </row>
    <row r="73" spans="1:18" ht="12.75">
      <c r="A73" s="138" t="s">
        <v>313</v>
      </c>
      <c r="B73" s="7"/>
      <c r="C73" s="7"/>
      <c r="D73" s="7">
        <f t="shared" si="0"/>
        <v>480</v>
      </c>
      <c r="E73" s="7">
        <v>5</v>
      </c>
      <c r="F73" s="15">
        <v>0.9</v>
      </c>
      <c r="G73" s="15">
        <v>0.9</v>
      </c>
      <c r="H73" s="16">
        <f t="shared" si="6"/>
        <v>14.789094650205762</v>
      </c>
      <c r="I73" s="7"/>
      <c r="J73" s="7">
        <f>L73*'800A Delta sht2'!G73</f>
        <v>13.310185185185185</v>
      </c>
      <c r="K73" s="7">
        <f>(L73^2-J73^2)^0.5</f>
        <v>6.446416904670492</v>
      </c>
      <c r="L73" s="7">
        <f>'800A Delta sht2'!H73</f>
        <v>14.789094650205762</v>
      </c>
      <c r="M73" s="7">
        <f>ASIN(K73/L73)</f>
        <v>0.4510268117962625</v>
      </c>
      <c r="N73" s="7">
        <f>M73*360/(2*PI())</f>
        <v>25.84193276316713</v>
      </c>
      <c r="O73" s="7">
        <f>1/L73</f>
        <v>0.06761739130434782</v>
      </c>
      <c r="P73" s="7">
        <f>-N73</f>
        <v>-25.84193276316713</v>
      </c>
      <c r="R73" s="7"/>
    </row>
    <row r="74" spans="1:18" ht="12.75">
      <c r="A74" s="7" t="s">
        <v>66</v>
      </c>
      <c r="B74" s="7"/>
      <c r="C74" s="7"/>
      <c r="D74" s="7">
        <f t="shared" si="0"/>
        <v>480</v>
      </c>
      <c r="E74" s="7">
        <v>4</v>
      </c>
      <c r="F74" s="15">
        <v>0.9</v>
      </c>
      <c r="G74" s="15">
        <v>0.9</v>
      </c>
      <c r="H74" s="16">
        <f t="shared" si="6"/>
        <v>11.831275720164609</v>
      </c>
      <c r="I74" s="7"/>
      <c r="J74" s="7">
        <f>L74*'800A Delta sht2'!G74</f>
        <v>10.648148148148149</v>
      </c>
      <c r="K74" s="7">
        <f t="shared" si="1"/>
        <v>5.157133523736393</v>
      </c>
      <c r="L74" s="7">
        <f>'800A Delta sht2'!H74</f>
        <v>11.831275720164609</v>
      </c>
      <c r="M74" s="7">
        <f t="shared" si="2"/>
        <v>0.4510268117962624</v>
      </c>
      <c r="N74" s="7">
        <f t="shared" si="3"/>
        <v>25.84193276316713</v>
      </c>
      <c r="O74" s="7">
        <f t="shared" si="4"/>
        <v>0.08452173913043479</v>
      </c>
      <c r="P74" s="7">
        <f t="shared" si="5"/>
        <v>-25.84193276316713</v>
      </c>
      <c r="R74" s="7"/>
    </row>
    <row r="75" spans="1:18" ht="12.75">
      <c r="A75" s="138" t="s">
        <v>314</v>
      </c>
      <c r="B75" s="7"/>
      <c r="C75" s="7"/>
      <c r="D75" s="7">
        <f t="shared" si="0"/>
        <v>480</v>
      </c>
      <c r="E75" s="7">
        <v>2.5</v>
      </c>
      <c r="F75" s="15">
        <v>0.9</v>
      </c>
      <c r="G75" s="15">
        <v>0.9</v>
      </c>
      <c r="H75" s="16">
        <f t="shared" si="6"/>
        <v>7.394547325102881</v>
      </c>
      <c r="I75" s="7"/>
      <c r="J75" s="7">
        <f>L75*'800A Delta sht2'!G75</f>
        <v>6.655092592592593</v>
      </c>
      <c r="K75" s="7">
        <f>(L75^2-J75^2)^0.5</f>
        <v>3.223208452335246</v>
      </c>
      <c r="L75" s="7">
        <f>'800A Delta sht2'!H75</f>
        <v>7.394547325102881</v>
      </c>
      <c r="M75" s="7">
        <f>ASIN(K75/L75)</f>
        <v>0.4510268117962625</v>
      </c>
      <c r="N75" s="7">
        <f>M75*360/(2*PI())</f>
        <v>25.84193276316713</v>
      </c>
      <c r="O75" s="7">
        <f>1/L75</f>
        <v>0.13523478260869565</v>
      </c>
      <c r="P75" s="7">
        <f>-N75</f>
        <v>-25.84193276316713</v>
      </c>
      <c r="R75" s="7"/>
    </row>
    <row r="76" spans="1:16" ht="12.75">
      <c r="A76" t="s">
        <v>67</v>
      </c>
      <c r="B76" s="7"/>
      <c r="C76" s="7"/>
      <c r="D76" s="7">
        <f t="shared" si="0"/>
        <v>480</v>
      </c>
      <c r="E76" s="7">
        <v>50</v>
      </c>
      <c r="F76" s="15">
        <v>0.93</v>
      </c>
      <c r="G76" s="15">
        <v>0.95</v>
      </c>
      <c r="H76" s="16">
        <f t="shared" si="6"/>
        <v>135.58762497641953</v>
      </c>
      <c r="I76" s="7"/>
      <c r="J76" s="7">
        <f>L76*'800A Delta sht2'!G76</f>
        <v>128.80824372759855</v>
      </c>
      <c r="K76" s="7">
        <f>(L76^2-J76^2)^0.5</f>
        <v>42.33722232926669</v>
      </c>
      <c r="L76" s="7">
        <f>'800A Delta sht2'!H76</f>
        <v>135.58762497641953</v>
      </c>
      <c r="M76" s="7">
        <f>ASIN(K76/L76)</f>
        <v>0.3175604292915218</v>
      </c>
      <c r="N76" s="7">
        <f t="shared" si="3"/>
        <v>18.1948723387668</v>
      </c>
      <c r="O76" s="7">
        <f>1/L76</f>
        <v>0.0073753043478260874</v>
      </c>
      <c r="P76" s="7">
        <f>-N76</f>
        <v>-18.1948723387668</v>
      </c>
    </row>
    <row r="77" spans="1:16" ht="12.75">
      <c r="A77" t="s">
        <v>68</v>
      </c>
      <c r="B77" s="7"/>
      <c r="C77" s="7"/>
      <c r="D77" s="7">
        <f t="shared" si="0"/>
        <v>480</v>
      </c>
      <c r="E77" s="7">
        <v>70</v>
      </c>
      <c r="F77" s="15">
        <v>0.94</v>
      </c>
      <c r="G77" s="15">
        <v>0.95</v>
      </c>
      <c r="H77" s="16">
        <f t="shared" si="6"/>
        <v>187.80328480776413</v>
      </c>
      <c r="I77" s="7"/>
      <c r="J77" s="7">
        <f>L77*'800A Delta sht2'!G77</f>
        <v>178.41312056737593</v>
      </c>
      <c r="K77" s="7">
        <f>(L77^2-J77^2)^0.5</f>
        <v>58.641556885856524</v>
      </c>
      <c r="L77" s="7">
        <f>'800A Delta sht2'!H77</f>
        <v>187.80328480776413</v>
      </c>
      <c r="M77" s="7">
        <f>ASIN(K77/L77)</f>
        <v>0.3175604292915211</v>
      </c>
      <c r="N77" s="7">
        <f t="shared" si="3"/>
        <v>18.194872338766764</v>
      </c>
      <c r="O77" s="7">
        <f>1/L77</f>
        <v>0.005324720496894409</v>
      </c>
      <c r="P77" s="7">
        <f>-N77</f>
        <v>-18.194872338766764</v>
      </c>
    </row>
    <row r="79" spans="1:2" ht="12.75">
      <c r="A79" s="7" t="s">
        <v>45</v>
      </c>
      <c r="B79" s="7">
        <v>1.15</v>
      </c>
    </row>
    <row r="81" spans="1:2" ht="12.75">
      <c r="A81" t="s">
        <v>10</v>
      </c>
      <c r="B81">
        <v>480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H125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20.00390625" style="0" customWidth="1"/>
    <col min="2" max="2" width="7.7109375" style="0" customWidth="1"/>
    <col min="5" max="5" width="10.421875" style="0" customWidth="1"/>
    <col min="8" max="8" width="20.57421875" style="0" customWidth="1"/>
    <col min="9" max="9" width="12.00390625" style="0" customWidth="1"/>
    <col min="11" max="11" width="20.7109375" style="0" customWidth="1"/>
    <col min="13" max="13" width="10.28125" style="0" customWidth="1"/>
    <col min="14" max="14" width="17.28125" style="0" customWidth="1"/>
  </cols>
  <sheetData>
    <row r="1" spans="1:60" ht="12.75">
      <c r="A1" s="1" t="s">
        <v>44</v>
      </c>
      <c r="B1" s="1" t="s">
        <v>22</v>
      </c>
      <c r="W1" s="7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2.75">
      <c r="A2" s="1"/>
      <c r="B2" s="1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2.75">
      <c r="A3" s="2" t="s">
        <v>86</v>
      </c>
      <c r="B3" s="3"/>
      <c r="E3" t="s">
        <v>87</v>
      </c>
      <c r="W3" s="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2" t="s">
        <v>88</v>
      </c>
      <c r="B4" s="3"/>
      <c r="W4" s="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2.75">
      <c r="A5" s="2" t="s">
        <v>89</v>
      </c>
      <c r="B5" s="3"/>
      <c r="D5" s="13" t="s">
        <v>52</v>
      </c>
      <c r="W5" s="7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2.75">
      <c r="A6" s="136" t="s">
        <v>304</v>
      </c>
      <c r="B6" s="3"/>
      <c r="D6" s="13"/>
      <c r="W6" s="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>
      <c r="A7" s="2" t="s">
        <v>90</v>
      </c>
      <c r="B7" s="3"/>
      <c r="D7" t="s">
        <v>53</v>
      </c>
      <c r="W7" s="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2.75">
      <c r="A8" s="2" t="s">
        <v>91</v>
      </c>
      <c r="B8" s="3"/>
      <c r="D8" t="s">
        <v>60</v>
      </c>
      <c r="W8" s="7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2.75">
      <c r="A9" s="2" t="s">
        <v>92</v>
      </c>
      <c r="B9" s="3"/>
      <c r="D9" t="s">
        <v>54</v>
      </c>
      <c r="W9" s="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2.75">
      <c r="A10" s="2" t="s">
        <v>93</v>
      </c>
      <c r="B10" s="3"/>
      <c r="W10" s="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2.75">
      <c r="A11" s="136" t="s">
        <v>305</v>
      </c>
      <c r="B11" s="3"/>
      <c r="D11" s="12" t="s">
        <v>55</v>
      </c>
      <c r="W11" s="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2.75">
      <c r="A12" s="136" t="s">
        <v>94</v>
      </c>
      <c r="B12" s="3"/>
      <c r="D12" t="s">
        <v>82</v>
      </c>
      <c r="W12" s="7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2.75">
      <c r="A13" s="136" t="s">
        <v>306</v>
      </c>
      <c r="B13" s="3"/>
      <c r="W13" s="7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2"/>
      <c r="B14" s="1"/>
      <c r="D14" t="s">
        <v>98</v>
      </c>
      <c r="W14" s="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2" t="s">
        <v>95</v>
      </c>
      <c r="B15" s="3"/>
      <c r="D15" t="s">
        <v>100</v>
      </c>
      <c r="W15" s="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>
      <c r="A16" s="2" t="s">
        <v>96</v>
      </c>
      <c r="B16" s="3"/>
      <c r="W16" s="7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2" t="s">
        <v>97</v>
      </c>
      <c r="B17" s="3"/>
      <c r="D17" t="s">
        <v>58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136" t="s">
        <v>307</v>
      </c>
      <c r="B18" s="3"/>
      <c r="D18" t="s">
        <v>280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2" t="s">
        <v>99</v>
      </c>
      <c r="B19" s="3"/>
      <c r="D19" t="s">
        <v>85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2" t="s">
        <v>101</v>
      </c>
      <c r="B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2" t="s">
        <v>102</v>
      </c>
      <c r="B21" s="3"/>
      <c r="D21" t="s">
        <v>106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2.75">
      <c r="A22" s="2" t="s">
        <v>103</v>
      </c>
      <c r="B22" s="3"/>
      <c r="D22" t="s">
        <v>108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2.75">
      <c r="A23" s="136" t="s">
        <v>308</v>
      </c>
      <c r="B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2.75">
      <c r="A24" s="136" t="s">
        <v>104</v>
      </c>
      <c r="B24" s="3"/>
      <c r="D24" t="s">
        <v>281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2.75">
      <c r="A25" s="136" t="s">
        <v>309</v>
      </c>
      <c r="B25" s="3"/>
      <c r="D25" t="s">
        <v>282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2.75">
      <c r="A26" s="2"/>
      <c r="B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2.75">
      <c r="A27" s="2" t="s">
        <v>105</v>
      </c>
      <c r="B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2.75">
      <c r="A28" s="2" t="s">
        <v>107</v>
      </c>
      <c r="B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2.75">
      <c r="A29" s="2" t="s">
        <v>109</v>
      </c>
      <c r="B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2.75">
      <c r="A30" s="136" t="s">
        <v>310</v>
      </c>
      <c r="B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2.75">
      <c r="A31" s="2" t="s">
        <v>110</v>
      </c>
      <c r="B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2.75">
      <c r="A32" s="2" t="s">
        <v>111</v>
      </c>
      <c r="B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2.75">
      <c r="A33" s="2" t="s">
        <v>112</v>
      </c>
      <c r="B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2.75">
      <c r="A34" s="2" t="s">
        <v>113</v>
      </c>
      <c r="B34" s="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2.75">
      <c r="A35" s="136" t="s">
        <v>311</v>
      </c>
      <c r="B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2.75">
      <c r="A36" s="136" t="s">
        <v>114</v>
      </c>
      <c r="B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2.75">
      <c r="A37" s="136" t="s">
        <v>312</v>
      </c>
      <c r="B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2.75">
      <c r="A38" s="2"/>
      <c r="B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2.75">
      <c r="A39" s="14" t="s">
        <v>59</v>
      </c>
      <c r="B39" s="1">
        <f>SUM(B3:B37)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2.7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2.75">
      <c r="A41" s="6" t="s">
        <v>41</v>
      </c>
      <c r="B41" s="4">
        <f>'600A Wye sht2'!D61</f>
        <v>0</v>
      </c>
      <c r="C41" s="5">
        <f>B41/'600A Wye sht2'!B7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2.75">
      <c r="A42" s="6" t="s">
        <v>42</v>
      </c>
      <c r="B42" s="4">
        <f>'600A Wye sht2'!D62</f>
        <v>0</v>
      </c>
      <c r="C42" s="5">
        <f>B42/'600A Wye sht2'!B7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2.75">
      <c r="A43" s="6" t="s">
        <v>43</v>
      </c>
      <c r="B43" s="4">
        <f>'600A Wye sht2'!D63</f>
        <v>0</v>
      </c>
      <c r="C43" s="5">
        <f>B43/'600A Wye sht2'!B7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6" t="s">
        <v>40</v>
      </c>
      <c r="B45" s="4">
        <f>'600A Wye sht2'!E29+'600A Wye sht2'!E42+'600A Wye sht2'!E56</f>
        <v>0</v>
      </c>
      <c r="C45" s="5">
        <f>B45/'600A Wye sht2'!C13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4:60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4:60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4:60" ht="12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1:6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1:6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1:6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1:6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1:6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6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6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6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6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6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6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6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6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1:6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1:6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1:6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1:6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1:6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1:6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1:6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81"/>
  <sheetViews>
    <sheetView zoomScalePageLayoutView="0" workbookViewId="0" topLeftCell="A17">
      <selection activeCell="E17" sqref="E17"/>
    </sheetView>
  </sheetViews>
  <sheetFormatPr defaultColWidth="9.140625" defaultRowHeight="12.75"/>
  <cols>
    <col min="1" max="1" width="16.00390625" style="0" customWidth="1"/>
    <col min="3" max="3" width="9.00390625" style="0" customWidth="1"/>
    <col min="8" max="8" width="15.140625" style="0" customWidth="1"/>
  </cols>
  <sheetData>
    <row r="1" ht="12.75">
      <c r="R1" s="7"/>
    </row>
    <row r="2" ht="12.75">
      <c r="R2" s="7"/>
    </row>
    <row r="3" ht="12.75">
      <c r="R3" s="7"/>
    </row>
    <row r="4" ht="12.75">
      <c r="R4" s="7"/>
    </row>
    <row r="5" ht="12.75">
      <c r="R5" s="7"/>
    </row>
    <row r="6" ht="12.75">
      <c r="R6" s="7"/>
    </row>
    <row r="7" spans="1:18" ht="12.75">
      <c r="A7" t="s">
        <v>115</v>
      </c>
      <c r="B7">
        <v>400</v>
      </c>
      <c r="R7" s="7"/>
    </row>
    <row r="8" spans="1:18" ht="12.75">
      <c r="A8" t="s">
        <v>116</v>
      </c>
      <c r="B8">
        <v>347</v>
      </c>
      <c r="R8" s="7"/>
    </row>
    <row r="9" spans="1:18" ht="12.75">
      <c r="A9" t="s">
        <v>117</v>
      </c>
      <c r="B9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2.75">
      <c r="A11" s="10" t="s">
        <v>47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7" t="s">
        <v>48</v>
      </c>
      <c r="B12" s="7"/>
      <c r="C12" s="8">
        <f>+B7*B8*B9</f>
        <v>416400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2.75">
      <c r="A13" s="7" t="s">
        <v>49</v>
      </c>
      <c r="B13" s="7"/>
      <c r="C13" s="8">
        <f>C12/347</f>
        <v>1200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2.75">
      <c r="A16" s="7" t="s">
        <v>44</v>
      </c>
      <c r="B16" s="7"/>
      <c r="C16" s="7"/>
      <c r="D16" s="7"/>
      <c r="E16" s="7" t="s">
        <v>26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2.75">
      <c r="A18" s="11" t="s">
        <v>86</v>
      </c>
      <c r="B18" s="7">
        <f>'600A Wye'!B3</f>
        <v>0</v>
      </c>
      <c r="C18" s="7"/>
      <c r="D18" s="7"/>
      <c r="E18" s="7">
        <f>'600A Wye'!B3*'600A Wye sht2'!$L$77</f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.75">
      <c r="A19" s="11" t="s">
        <v>88</v>
      </c>
      <c r="B19" s="7">
        <f>'600A Wye'!B4</f>
        <v>0</v>
      </c>
      <c r="C19" s="7"/>
      <c r="D19" s="7"/>
      <c r="E19" s="7">
        <f>'600A Wye'!B4*'600A Wye sht2'!$L$76</f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11" t="s">
        <v>89</v>
      </c>
      <c r="B20" s="7">
        <f>'600A Wye'!B5</f>
        <v>0</v>
      </c>
      <c r="C20" s="7"/>
      <c r="D20" s="7"/>
      <c r="E20" s="7">
        <f>'600A Wye'!B5*'600A Wye sht2'!$L$67</f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12.75">
      <c r="A21" s="137" t="s">
        <v>304</v>
      </c>
      <c r="B21" s="7">
        <f>'600A Wye'!B6</f>
        <v>0</v>
      </c>
      <c r="C21" s="7"/>
      <c r="D21" s="7"/>
      <c r="E21" s="7">
        <f>'600A Wye'!B6*'600A Wye sht2'!$L$68</f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11" t="s">
        <v>90</v>
      </c>
      <c r="B22" s="7">
        <f>'600A Wye'!B7</f>
        <v>0</v>
      </c>
      <c r="C22" s="7"/>
      <c r="D22" s="7"/>
      <c r="E22" s="7">
        <f>'600A Wye'!B7*'600A Wye sht2'!$L$69</f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11" t="s">
        <v>91</v>
      </c>
      <c r="B23" s="7">
        <f>'600A Wye'!B8</f>
        <v>0</v>
      </c>
      <c r="C23" s="7"/>
      <c r="D23" s="7"/>
      <c r="E23" s="7">
        <f>'600A Wye'!B8*'600A Wye sht2'!$L$70</f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2.75">
      <c r="A24" s="11" t="s">
        <v>92</v>
      </c>
      <c r="B24" s="7">
        <f>'600A Wye'!B9</f>
        <v>0</v>
      </c>
      <c r="C24" s="7"/>
      <c r="D24" s="7"/>
      <c r="E24" s="7">
        <f>'600A Wye'!B9*'600A Wye sht2'!$L$71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11" t="s">
        <v>93</v>
      </c>
      <c r="B25" s="7">
        <f>'600A Wye'!B10</f>
        <v>0</v>
      </c>
      <c r="C25" s="7"/>
      <c r="D25" s="7"/>
      <c r="E25" s="7">
        <f>'600A Wye'!B10*'600A Wye sht2'!$L$72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2.75">
      <c r="A26" s="137" t="s">
        <v>305</v>
      </c>
      <c r="B26" s="7">
        <f>'600A Wye'!B11</f>
        <v>0</v>
      </c>
      <c r="C26" s="7"/>
      <c r="D26" s="7"/>
      <c r="E26" s="7">
        <f>'600A Wye'!B11*'600A Wye sht2'!$L$73</f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11" t="s">
        <v>94</v>
      </c>
      <c r="B27" s="7">
        <f>'600A Wye'!B12</f>
        <v>0</v>
      </c>
      <c r="C27" s="7"/>
      <c r="D27" s="7"/>
      <c r="E27" s="7">
        <f>'600A Wye'!B12*'600A Wye sht2'!$L$74</f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137" t="s">
        <v>306</v>
      </c>
      <c r="B28" s="7">
        <f>'600A Wye'!B13</f>
        <v>0</v>
      </c>
      <c r="C28" s="7"/>
      <c r="D28" s="7"/>
      <c r="E28" s="7">
        <f>'600A Wye'!B13*'600A Wye sht2'!$L$75</f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2.75">
      <c r="A29" s="11" t="s">
        <v>23</v>
      </c>
      <c r="B29" s="7"/>
      <c r="C29" s="7"/>
      <c r="D29" s="7"/>
      <c r="E29">
        <f>+SUM(E18:E28)</f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11" t="s">
        <v>95</v>
      </c>
      <c r="B31" s="7">
        <f>'600A Wye'!B15</f>
        <v>0</v>
      </c>
      <c r="C31" s="7"/>
      <c r="D31" s="7"/>
      <c r="E31" s="7">
        <f>'600A Wye'!B15*'600A Wye sht2'!$L$77</f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11" t="s">
        <v>96</v>
      </c>
      <c r="B32" s="7">
        <f>'600A Wye'!B16</f>
        <v>0</v>
      </c>
      <c r="C32" s="7"/>
      <c r="D32" s="7"/>
      <c r="E32" s="7">
        <f>'600A Wye'!B16*'600A Wye sht2'!$L$76</f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2.75">
      <c r="A33" s="11" t="s">
        <v>97</v>
      </c>
      <c r="B33" s="7">
        <f>'600A Wye'!B17</f>
        <v>0</v>
      </c>
      <c r="C33" s="7"/>
      <c r="D33" s="7"/>
      <c r="E33" s="7">
        <f>'600A Wye'!B17*'600A Wye sht2'!$L$67</f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137" t="s">
        <v>307</v>
      </c>
      <c r="B34" s="7">
        <f>'600A Wye'!B18</f>
        <v>0</v>
      </c>
      <c r="C34" s="7"/>
      <c r="D34" s="7"/>
      <c r="E34" s="7">
        <f>'600A Wye'!B18*'600A Wye sht2'!$L$68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11" t="s">
        <v>99</v>
      </c>
      <c r="B35" s="7">
        <f>'600A Wye'!B19</f>
        <v>0</v>
      </c>
      <c r="C35" s="7"/>
      <c r="D35" s="7"/>
      <c r="E35" s="7">
        <f>'600A Wye'!B19*'600A Wye sht2'!$L$69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2.75">
      <c r="A36" s="11" t="s">
        <v>101</v>
      </c>
      <c r="B36" s="7">
        <f>'600A Wye'!B20</f>
        <v>0</v>
      </c>
      <c r="C36" s="7"/>
      <c r="D36" s="7"/>
      <c r="E36" s="7">
        <f>'600A Wye'!B20*'600A Wye sht2'!$L$70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11" t="s">
        <v>102</v>
      </c>
      <c r="B37" s="7">
        <f>'600A Wye'!B21</f>
        <v>0</v>
      </c>
      <c r="C37" s="7"/>
      <c r="D37" s="7"/>
      <c r="E37" s="7">
        <f>'600A Wye'!B21*'600A Wye sht2'!$L$71</f>
        <v>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11" t="s">
        <v>103</v>
      </c>
      <c r="B38" s="7">
        <f>'600A Wye'!B22</f>
        <v>0</v>
      </c>
      <c r="C38" s="7"/>
      <c r="D38" s="7"/>
      <c r="E38" s="7">
        <f>'600A Wye'!B22*'600A Wye sht2'!$L$72</f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137" t="s">
        <v>308</v>
      </c>
      <c r="B39" s="7">
        <f>'600A Wye'!B23</f>
        <v>0</v>
      </c>
      <c r="C39" s="7"/>
      <c r="D39" s="7"/>
      <c r="E39" s="7">
        <f>'600A Wye'!B23*'600A Wye sht2'!$L$73</f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2.75">
      <c r="A40" s="11" t="s">
        <v>104</v>
      </c>
      <c r="B40" s="7">
        <f>'600A Wye'!B24</f>
        <v>0</v>
      </c>
      <c r="C40" s="7"/>
      <c r="D40" s="7"/>
      <c r="E40" s="7">
        <f>'600A Wye'!B24*'600A Wye sht2'!$L$74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2.75">
      <c r="A41" s="137" t="s">
        <v>309</v>
      </c>
      <c r="B41" s="7">
        <f>'600A Wye'!B25</f>
        <v>0</v>
      </c>
      <c r="C41" s="7"/>
      <c r="D41" s="7"/>
      <c r="E41" s="7">
        <f>'600A Wye'!B25*'600A Wye sht2'!$L$75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11" t="s">
        <v>24</v>
      </c>
      <c r="B42" s="7"/>
      <c r="C42" s="7"/>
      <c r="D42" s="7"/>
      <c r="E42" s="7">
        <f>+SUM(E31:E41)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1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1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11" t="s">
        <v>105</v>
      </c>
      <c r="B45" s="7">
        <f>'600A Wye'!B27</f>
        <v>0</v>
      </c>
      <c r="C45" s="7"/>
      <c r="D45" s="7"/>
      <c r="E45" s="7">
        <f>'600A Wye'!B27*'600A Wye sht2'!$L$77</f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2.75">
      <c r="A46" s="11" t="s">
        <v>107</v>
      </c>
      <c r="B46" s="7">
        <f>'600A Wye'!B28</f>
        <v>0</v>
      </c>
      <c r="C46" s="7"/>
      <c r="D46" s="7"/>
      <c r="E46" s="7">
        <f>'600A Wye'!B28*'600A Wye sht2'!$L$76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2.75">
      <c r="A47" s="11" t="s">
        <v>109</v>
      </c>
      <c r="B47" s="7">
        <f>'600A Wye'!B29</f>
        <v>0</v>
      </c>
      <c r="C47" s="7"/>
      <c r="D47" s="7"/>
      <c r="E47" s="7">
        <f>'600A Wye'!B29*'600A Wye sht2'!$L$67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2.75">
      <c r="A48" s="137" t="s">
        <v>310</v>
      </c>
      <c r="B48" s="7">
        <f>'600A Wye'!B30</f>
        <v>0</v>
      </c>
      <c r="C48" s="7"/>
      <c r="D48" s="7"/>
      <c r="E48" s="7">
        <f>'600A Wye'!B30*'600A Wye sht2'!$L$68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2.75">
      <c r="A49" s="11" t="s">
        <v>110</v>
      </c>
      <c r="B49" s="7">
        <f>'600A Wye'!B31</f>
        <v>0</v>
      </c>
      <c r="C49" s="7"/>
      <c r="D49" s="7"/>
      <c r="E49" s="7">
        <f>'600A Wye'!B31*'600A Wye sht2'!$L$69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2.75">
      <c r="A50" s="11" t="s">
        <v>111</v>
      </c>
      <c r="B50" s="7">
        <f>'600A Wye'!B32</f>
        <v>0</v>
      </c>
      <c r="C50" s="7"/>
      <c r="D50" s="7"/>
      <c r="E50" s="7">
        <f>'600A Wye'!B32*'600A Wye sht2'!$L$70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2.75">
      <c r="A51" s="11" t="s">
        <v>112</v>
      </c>
      <c r="B51" s="7">
        <f>'600A Wye'!B33</f>
        <v>0</v>
      </c>
      <c r="C51" s="7"/>
      <c r="D51" s="7"/>
      <c r="E51" s="7">
        <f>'600A Wye'!B33*'600A Wye sht2'!$L$71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2.75">
      <c r="A52" s="11" t="s">
        <v>113</v>
      </c>
      <c r="B52" s="7">
        <f>'600A Wye'!B34</f>
        <v>0</v>
      </c>
      <c r="C52" s="7"/>
      <c r="D52" s="7"/>
      <c r="E52" s="7">
        <f>'600A Wye'!B34*'600A Wye sht2'!$L$72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>
      <c r="A53" s="137" t="s">
        <v>311</v>
      </c>
      <c r="B53" s="7">
        <f>'600A Wye'!B35</f>
        <v>0</v>
      </c>
      <c r="C53" s="7"/>
      <c r="D53" s="7"/>
      <c r="E53" s="7">
        <f>'600A Wye'!B35*'600A Wye sht2'!$L$73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2.75">
      <c r="A54" s="11" t="s">
        <v>114</v>
      </c>
      <c r="B54" s="7">
        <f>'600A Wye'!B36</f>
        <v>0</v>
      </c>
      <c r="C54" s="7"/>
      <c r="D54" s="7"/>
      <c r="E54" s="7">
        <f>'600A Wye'!B36*'600A Wye sht2'!$L$74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2.75">
      <c r="A55" s="137" t="s">
        <v>312</v>
      </c>
      <c r="B55" s="7">
        <f>'600A Wye'!B37</f>
        <v>0</v>
      </c>
      <c r="C55" s="7"/>
      <c r="D55" s="7"/>
      <c r="E55" s="7">
        <f>'600A Wye'!B37*'600A Wye sht2'!$L$75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2.75">
      <c r="A56" s="11" t="s">
        <v>25</v>
      </c>
      <c r="B56" s="7"/>
      <c r="C56" s="7"/>
      <c r="D56" s="7"/>
      <c r="E56" s="7">
        <f>+SUM(E45:E55)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2.75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2.75">
      <c r="A59" s="10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2.75">
      <c r="A60" s="7"/>
      <c r="B60" s="7"/>
      <c r="C60" s="7"/>
      <c r="D60" s="9" t="s">
        <v>29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2.75">
      <c r="A61" s="7" t="s">
        <v>23</v>
      </c>
      <c r="B61" s="7"/>
      <c r="C61" s="7"/>
      <c r="D61" s="9">
        <f>+E29</f>
        <v>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2.75">
      <c r="A62" s="7" t="s">
        <v>24</v>
      </c>
      <c r="B62" s="7"/>
      <c r="C62" s="7"/>
      <c r="D62" s="9">
        <f>+E42</f>
        <v>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2.75">
      <c r="A63" s="7" t="s">
        <v>25</v>
      </c>
      <c r="B63" s="7"/>
      <c r="C63" s="7"/>
      <c r="D63" s="9">
        <f>+E56</f>
        <v>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2.75">
      <c r="A65" s="10" t="s">
        <v>51</v>
      </c>
      <c r="B65" s="7"/>
      <c r="C65" s="7"/>
      <c r="D65" s="7"/>
      <c r="E65" s="7"/>
      <c r="F65" s="7"/>
      <c r="G65" s="7"/>
      <c r="H65" s="7"/>
      <c r="I65" s="7"/>
      <c r="J65" s="7" t="s">
        <v>27</v>
      </c>
      <c r="K65" s="7" t="s">
        <v>28</v>
      </c>
      <c r="L65" s="7" t="s">
        <v>29</v>
      </c>
      <c r="M65" s="7" t="s">
        <v>30</v>
      </c>
      <c r="N65" s="7" t="s">
        <v>31</v>
      </c>
      <c r="O65" s="7" t="s">
        <v>32</v>
      </c>
      <c r="P65" s="7"/>
      <c r="R65" s="7"/>
    </row>
    <row r="66" spans="1:18" ht="12.75">
      <c r="A66" s="7"/>
      <c r="B66" s="7"/>
      <c r="C66" s="7"/>
      <c r="D66" s="7" t="s">
        <v>10</v>
      </c>
      <c r="E66" s="7" t="s">
        <v>7</v>
      </c>
      <c r="F66" s="7" t="s">
        <v>9</v>
      </c>
      <c r="G66" s="7" t="s">
        <v>8</v>
      </c>
      <c r="H66" s="7" t="s">
        <v>69</v>
      </c>
      <c r="I66" s="7"/>
      <c r="J66" s="7"/>
      <c r="K66" s="7"/>
      <c r="L66" s="7"/>
      <c r="M66" s="7"/>
      <c r="N66" s="7"/>
      <c r="O66" s="7" t="s">
        <v>29</v>
      </c>
      <c r="P66" s="7" t="s">
        <v>33</v>
      </c>
      <c r="R66" s="7"/>
    </row>
    <row r="67" spans="1:18" ht="12.75">
      <c r="A67" s="7" t="s">
        <v>61</v>
      </c>
      <c r="B67" s="7"/>
      <c r="C67" s="7"/>
      <c r="D67" s="7">
        <f aca="true" t="shared" si="0" ref="D67:D77">$B$81</f>
        <v>480</v>
      </c>
      <c r="E67" s="7">
        <v>30</v>
      </c>
      <c r="F67" s="15">
        <v>0.92</v>
      </c>
      <c r="G67" s="15">
        <v>0.95</v>
      </c>
      <c r="H67" s="8">
        <f>$B$79*E67*1000/(F67*G67*D67)</f>
        <v>82.23684210526316</v>
      </c>
      <c r="I67" s="7"/>
      <c r="J67" s="7">
        <f>L67*'600A Wye sht2'!G67</f>
        <v>78.125</v>
      </c>
      <c r="K67" s="7">
        <f aca="true" t="shared" si="1" ref="K67:K77">(L67^2-J67^2)^0.5</f>
        <v>25.6784457170987</v>
      </c>
      <c r="L67" s="7">
        <f>'600A Wye sht2'!H67</f>
        <v>82.23684210526316</v>
      </c>
      <c r="M67" s="7">
        <f aca="true" t="shared" si="2" ref="M67:M77">ASIN(K67/L67)</f>
        <v>0.3175604292915216</v>
      </c>
      <c r="N67" s="7">
        <f aca="true" t="shared" si="3" ref="N67:N77">M67*360/(2*PI())</f>
        <v>18.194872338766793</v>
      </c>
      <c r="O67" s="7">
        <f aca="true" t="shared" si="4" ref="O67:O77">1/L67</f>
        <v>0.012159999999999999</v>
      </c>
      <c r="P67" s="7">
        <f aca="true" t="shared" si="5" ref="P67:P77">-N67</f>
        <v>-18.194872338766793</v>
      </c>
      <c r="R67" s="7"/>
    </row>
    <row r="68" spans="1:18" ht="12.75">
      <c r="A68" s="138" t="s">
        <v>301</v>
      </c>
      <c r="B68" s="7"/>
      <c r="C68" s="7"/>
      <c r="D68" s="7">
        <f t="shared" si="0"/>
        <v>480</v>
      </c>
      <c r="E68" s="7">
        <v>25</v>
      </c>
      <c r="F68" s="15">
        <v>0.9</v>
      </c>
      <c r="G68" s="15">
        <v>0.95</v>
      </c>
      <c r="H68" s="8">
        <f>$B$79*E68*1000/(F68*G68*D68)</f>
        <v>70.05360623781677</v>
      </c>
      <c r="I68" s="7"/>
      <c r="J68" s="7">
        <f>L68*'600A Wye sht2'!G68</f>
        <v>66.55092592592592</v>
      </c>
      <c r="K68" s="7">
        <f>(L68^2-J68^2)^0.5</f>
        <v>21.874231536787768</v>
      </c>
      <c r="L68" s="7">
        <f>'600A Wye sht2'!H68</f>
        <v>70.05360623781677</v>
      </c>
      <c r="M68" s="7">
        <f>ASIN(K68/L68)</f>
        <v>0.31756042929152145</v>
      </c>
      <c r="N68" s="7">
        <f>M68*360/(2*PI())</f>
        <v>18.194872338766782</v>
      </c>
      <c r="O68" s="7">
        <f>1/L68</f>
        <v>0.014274782608695653</v>
      </c>
      <c r="P68" s="7">
        <f>-N68</f>
        <v>-18.194872338766782</v>
      </c>
      <c r="R68" s="7"/>
    </row>
    <row r="69" spans="1:18" ht="12.75">
      <c r="A69" s="7" t="s">
        <v>62</v>
      </c>
      <c r="B69" s="7"/>
      <c r="C69" s="7"/>
      <c r="D69" s="7">
        <f t="shared" si="0"/>
        <v>480</v>
      </c>
      <c r="E69" s="7">
        <v>20</v>
      </c>
      <c r="F69" s="15">
        <v>0.9</v>
      </c>
      <c r="G69" s="15">
        <v>0.95</v>
      </c>
      <c r="H69" s="8">
        <f>$B$79*E69*1000/(F69*G69*D69)</f>
        <v>56.04288499025341</v>
      </c>
      <c r="I69" s="7"/>
      <c r="J69" s="7">
        <f>L69*'600A Wye sht2'!G69</f>
        <v>53.24074074074074</v>
      </c>
      <c r="K69" s="7">
        <f t="shared" si="1"/>
        <v>17.499385229430207</v>
      </c>
      <c r="L69" s="7">
        <f>'600A Wye sht2'!H69</f>
        <v>56.04288499025341</v>
      </c>
      <c r="M69" s="7">
        <f t="shared" si="2"/>
        <v>0.31756042929152134</v>
      </c>
      <c r="N69" s="7">
        <f t="shared" si="3"/>
        <v>18.194872338766775</v>
      </c>
      <c r="O69" s="7">
        <f t="shared" si="4"/>
        <v>0.017843478260869565</v>
      </c>
      <c r="P69" s="7">
        <f t="shared" si="5"/>
        <v>-18.194872338766775</v>
      </c>
      <c r="R69" s="7"/>
    </row>
    <row r="70" spans="1:18" ht="12.75">
      <c r="A70" s="7" t="s">
        <v>63</v>
      </c>
      <c r="B70" s="7"/>
      <c r="C70" s="7"/>
      <c r="D70" s="7">
        <f t="shared" si="0"/>
        <v>480</v>
      </c>
      <c r="E70" s="7">
        <v>15</v>
      </c>
      <c r="F70" s="15">
        <v>0.9</v>
      </c>
      <c r="G70" s="15">
        <v>0.95</v>
      </c>
      <c r="H70" s="8">
        <f>$B$79*E70*1000/(F70*G70*D70)</f>
        <v>42.03216374269006</v>
      </c>
      <c r="I70" s="7"/>
      <c r="J70" s="7">
        <f>L70*'600A Wye sht2'!G70</f>
        <v>39.93055555555556</v>
      </c>
      <c r="K70" s="7">
        <f t="shared" si="1"/>
        <v>13.12453892207265</v>
      </c>
      <c r="L70" s="7">
        <f>'600A Wye sht2'!H70</f>
        <v>42.03216374269006</v>
      </c>
      <c r="M70" s="7">
        <f t="shared" si="2"/>
        <v>0.3175604292915212</v>
      </c>
      <c r="N70" s="7">
        <f t="shared" si="3"/>
        <v>18.194872338766768</v>
      </c>
      <c r="O70" s="7">
        <f t="shared" si="4"/>
        <v>0.023791304347826087</v>
      </c>
      <c r="P70" s="7">
        <f t="shared" si="5"/>
        <v>-18.194872338766768</v>
      </c>
      <c r="R70" s="7"/>
    </row>
    <row r="71" spans="1:18" ht="12.75">
      <c r="A71" s="7" t="s">
        <v>64</v>
      </c>
      <c r="B71" s="7"/>
      <c r="C71" s="7"/>
      <c r="D71" s="7">
        <f t="shared" si="0"/>
        <v>480</v>
      </c>
      <c r="E71" s="7">
        <v>10</v>
      </c>
      <c r="F71" s="15">
        <v>0.9</v>
      </c>
      <c r="G71" s="15">
        <v>0.9</v>
      </c>
      <c r="H71" s="16">
        <f aca="true" t="shared" si="6" ref="H71:H77">$B$79*E71*1000/(F71*G71*$D$67)</f>
        <v>29.578189300411523</v>
      </c>
      <c r="I71" s="7"/>
      <c r="J71" s="7">
        <f>L71*'600A Wye sht2'!G71</f>
        <v>26.62037037037037</v>
      </c>
      <c r="K71" s="7">
        <f t="shared" si="1"/>
        <v>12.892833809340985</v>
      </c>
      <c r="L71" s="7">
        <f>'600A Wye sht2'!H71</f>
        <v>29.578189300411523</v>
      </c>
      <c r="M71" s="7">
        <f t="shared" si="2"/>
        <v>0.4510268117962625</v>
      </c>
      <c r="N71" s="7">
        <f t="shared" si="3"/>
        <v>25.84193276316713</v>
      </c>
      <c r="O71" s="7">
        <f t="shared" si="4"/>
        <v>0.03380869565217391</v>
      </c>
      <c r="P71" s="7">
        <f t="shared" si="5"/>
        <v>-25.84193276316713</v>
      </c>
      <c r="R71" s="7"/>
    </row>
    <row r="72" spans="1:18" ht="12.75">
      <c r="A72" s="7" t="s">
        <v>65</v>
      </c>
      <c r="B72" s="7"/>
      <c r="C72" s="7"/>
      <c r="D72" s="7">
        <f t="shared" si="0"/>
        <v>480</v>
      </c>
      <c r="E72" s="7">
        <v>7.5</v>
      </c>
      <c r="F72" s="15">
        <v>0.9</v>
      </c>
      <c r="G72" s="15">
        <v>0.9</v>
      </c>
      <c r="H72" s="16">
        <f t="shared" si="6"/>
        <v>22.183641975308642</v>
      </c>
      <c r="I72" s="7"/>
      <c r="J72" s="7">
        <f>L72*'600A Wye sht2'!G72</f>
        <v>19.96527777777778</v>
      </c>
      <c r="K72" s="7">
        <f t="shared" si="1"/>
        <v>9.669625357005739</v>
      </c>
      <c r="L72" s="7">
        <f>'600A Wye sht2'!H72</f>
        <v>22.183641975308642</v>
      </c>
      <c r="M72" s="7">
        <f t="shared" si="2"/>
        <v>0.4510268117962625</v>
      </c>
      <c r="N72" s="7">
        <f t="shared" si="3"/>
        <v>25.84193276316713</v>
      </c>
      <c r="O72" s="7">
        <f t="shared" si="4"/>
        <v>0.04507826086956521</v>
      </c>
      <c r="P72" s="7">
        <f t="shared" si="5"/>
        <v>-25.84193276316713</v>
      </c>
      <c r="R72" s="7"/>
    </row>
    <row r="73" spans="1:18" ht="12.75">
      <c r="A73" s="138" t="s">
        <v>313</v>
      </c>
      <c r="B73" s="7"/>
      <c r="C73" s="7"/>
      <c r="D73" s="7">
        <f t="shared" si="0"/>
        <v>480</v>
      </c>
      <c r="E73" s="7">
        <v>5</v>
      </c>
      <c r="F73" s="15">
        <v>0.9</v>
      </c>
      <c r="G73" s="15">
        <v>0.9</v>
      </c>
      <c r="H73" s="16">
        <f t="shared" si="6"/>
        <v>14.789094650205762</v>
      </c>
      <c r="I73" s="7"/>
      <c r="J73" s="7">
        <f>L73*'600A Wye sht2'!G73</f>
        <v>13.310185185185185</v>
      </c>
      <c r="K73" s="7">
        <f>(L73^2-J73^2)^0.5</f>
        <v>6.446416904670492</v>
      </c>
      <c r="L73" s="7">
        <f>'600A Wye sht2'!H73</f>
        <v>14.789094650205762</v>
      </c>
      <c r="M73" s="7">
        <f>ASIN(K73/L73)</f>
        <v>0.4510268117962625</v>
      </c>
      <c r="N73" s="7">
        <f>M73*360/(2*PI())</f>
        <v>25.84193276316713</v>
      </c>
      <c r="O73" s="7">
        <f>1/L73</f>
        <v>0.06761739130434782</v>
      </c>
      <c r="P73" s="7">
        <f>-N73</f>
        <v>-25.84193276316713</v>
      </c>
      <c r="R73" s="7"/>
    </row>
    <row r="74" spans="1:18" ht="12.75">
      <c r="A74" s="7" t="s">
        <v>66</v>
      </c>
      <c r="B74" s="7"/>
      <c r="C74" s="7"/>
      <c r="D74" s="7">
        <f t="shared" si="0"/>
        <v>480</v>
      </c>
      <c r="E74" s="7">
        <v>4</v>
      </c>
      <c r="F74" s="15">
        <v>0.9</v>
      </c>
      <c r="G74" s="15">
        <v>0.9</v>
      </c>
      <c r="H74" s="16">
        <f t="shared" si="6"/>
        <v>11.831275720164609</v>
      </c>
      <c r="I74" s="7"/>
      <c r="J74" s="7">
        <f>L74*'600A Wye sht2'!G74</f>
        <v>10.648148148148149</v>
      </c>
      <c r="K74" s="7">
        <f t="shared" si="1"/>
        <v>5.157133523736393</v>
      </c>
      <c r="L74" s="7">
        <f>'600A Wye sht2'!H74</f>
        <v>11.831275720164609</v>
      </c>
      <c r="M74" s="7">
        <f t="shared" si="2"/>
        <v>0.4510268117962624</v>
      </c>
      <c r="N74" s="7">
        <f t="shared" si="3"/>
        <v>25.84193276316713</v>
      </c>
      <c r="O74" s="7">
        <f t="shared" si="4"/>
        <v>0.08452173913043479</v>
      </c>
      <c r="P74" s="7">
        <f t="shared" si="5"/>
        <v>-25.84193276316713</v>
      </c>
      <c r="R74" s="7"/>
    </row>
    <row r="75" spans="1:18" ht="12.75">
      <c r="A75" s="138" t="s">
        <v>314</v>
      </c>
      <c r="B75" s="7"/>
      <c r="C75" s="7"/>
      <c r="D75" s="7">
        <f t="shared" si="0"/>
        <v>480</v>
      </c>
      <c r="E75" s="7">
        <v>2.5</v>
      </c>
      <c r="F75" s="15">
        <v>0.9</v>
      </c>
      <c r="G75" s="15">
        <v>0.9</v>
      </c>
      <c r="H75" s="16">
        <f t="shared" si="6"/>
        <v>7.394547325102881</v>
      </c>
      <c r="I75" s="7"/>
      <c r="J75" s="7">
        <f>L75*'600A Wye sht2'!G75</f>
        <v>6.655092592592593</v>
      </c>
      <c r="K75" s="7">
        <f>(L75^2-J75^2)^0.5</f>
        <v>3.223208452335246</v>
      </c>
      <c r="L75" s="7">
        <f>'600A Wye sht2'!H75</f>
        <v>7.394547325102881</v>
      </c>
      <c r="M75" s="7">
        <f>ASIN(K75/L75)</f>
        <v>0.4510268117962625</v>
      </c>
      <c r="N75" s="7">
        <f>M75*360/(2*PI())</f>
        <v>25.84193276316713</v>
      </c>
      <c r="O75" s="7">
        <f>1/L75</f>
        <v>0.13523478260869565</v>
      </c>
      <c r="P75" s="7">
        <f>-N75</f>
        <v>-25.84193276316713</v>
      </c>
      <c r="R75" s="7"/>
    </row>
    <row r="76" spans="1:16" ht="12.75">
      <c r="A76" t="s">
        <v>67</v>
      </c>
      <c r="B76" s="7"/>
      <c r="C76" s="7"/>
      <c r="D76" s="7">
        <f t="shared" si="0"/>
        <v>480</v>
      </c>
      <c r="E76" s="7">
        <v>50</v>
      </c>
      <c r="F76" s="15">
        <v>0.93</v>
      </c>
      <c r="G76" s="15">
        <v>0.95</v>
      </c>
      <c r="H76" s="16">
        <f t="shared" si="6"/>
        <v>135.58762497641953</v>
      </c>
      <c r="I76" s="7"/>
      <c r="J76" s="7">
        <f>L76*'600A Wye sht2'!G76</f>
        <v>128.80824372759855</v>
      </c>
      <c r="K76" s="7">
        <f t="shared" si="1"/>
        <v>42.33722232926669</v>
      </c>
      <c r="L76" s="7">
        <f>'600A Wye sht2'!H76</f>
        <v>135.58762497641953</v>
      </c>
      <c r="M76" s="7">
        <f t="shared" si="2"/>
        <v>0.3175604292915218</v>
      </c>
      <c r="N76" s="7">
        <f t="shared" si="3"/>
        <v>18.1948723387668</v>
      </c>
      <c r="O76" s="7">
        <f t="shared" si="4"/>
        <v>0.0073753043478260874</v>
      </c>
      <c r="P76" s="7">
        <f t="shared" si="5"/>
        <v>-18.1948723387668</v>
      </c>
    </row>
    <row r="77" spans="1:16" ht="12.75">
      <c r="A77" t="s">
        <v>68</v>
      </c>
      <c r="B77" s="7"/>
      <c r="C77" s="7"/>
      <c r="D77" s="7">
        <f t="shared" si="0"/>
        <v>480</v>
      </c>
      <c r="E77" s="7">
        <v>70</v>
      </c>
      <c r="F77" s="15">
        <v>0.94</v>
      </c>
      <c r="G77" s="15">
        <v>0.95</v>
      </c>
      <c r="H77" s="16">
        <f t="shared" si="6"/>
        <v>187.80328480776413</v>
      </c>
      <c r="I77" s="7"/>
      <c r="J77" s="7">
        <f>L77*'600A Wye sht2'!G77</f>
        <v>178.41312056737593</v>
      </c>
      <c r="K77" s="7">
        <f t="shared" si="1"/>
        <v>58.641556885856524</v>
      </c>
      <c r="L77" s="7">
        <f>'600A Wye sht2'!H77</f>
        <v>187.80328480776413</v>
      </c>
      <c r="M77" s="7">
        <f t="shared" si="2"/>
        <v>0.3175604292915211</v>
      </c>
      <c r="N77" s="7">
        <f t="shared" si="3"/>
        <v>18.194872338766764</v>
      </c>
      <c r="O77" s="7">
        <f t="shared" si="4"/>
        <v>0.005324720496894409</v>
      </c>
      <c r="P77" s="7">
        <f t="shared" si="5"/>
        <v>-18.194872338766764</v>
      </c>
    </row>
    <row r="79" spans="1:2" ht="12.75">
      <c r="A79" s="7" t="s">
        <v>45</v>
      </c>
      <c r="B79" s="7">
        <v>1.15</v>
      </c>
    </row>
    <row r="81" spans="1:2" ht="12.75">
      <c r="A81" t="s">
        <v>10</v>
      </c>
      <c r="B81">
        <v>480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421875" style="17" customWidth="1"/>
  </cols>
  <sheetData>
    <row r="3" spans="1:2" s="130" customFormat="1" ht="15">
      <c r="A3" s="130" t="s">
        <v>275</v>
      </c>
      <c r="B3" s="131"/>
    </row>
    <row r="4" spans="1:2" ht="12.75">
      <c r="A4">
        <v>800</v>
      </c>
      <c r="B4" s="17" t="s">
        <v>276</v>
      </c>
    </row>
    <row r="5" spans="1:2" ht="12.75">
      <c r="A5">
        <v>400</v>
      </c>
      <c r="B5" s="17" t="s">
        <v>276</v>
      </c>
    </row>
    <row r="6" spans="1:2" ht="12.75">
      <c r="A6">
        <v>250</v>
      </c>
      <c r="B6" s="17" t="s">
        <v>277</v>
      </c>
    </row>
    <row r="7" spans="1:2" ht="12.75">
      <c r="A7">
        <v>225</v>
      </c>
      <c r="B7" s="17" t="s">
        <v>277</v>
      </c>
    </row>
    <row r="8" spans="1:2" ht="12.75">
      <c r="A8">
        <v>200</v>
      </c>
      <c r="B8" s="17" t="s">
        <v>277</v>
      </c>
    </row>
    <row r="9" spans="1:2" ht="12.75">
      <c r="A9">
        <v>175</v>
      </c>
      <c r="B9" s="17" t="s">
        <v>277</v>
      </c>
    </row>
    <row r="10" spans="1:2" ht="12.75">
      <c r="A10">
        <v>150</v>
      </c>
      <c r="B10" s="17" t="s">
        <v>277</v>
      </c>
    </row>
    <row r="11" spans="1:2" ht="12.75">
      <c r="A11">
        <v>125</v>
      </c>
      <c r="B11" s="17" t="s">
        <v>277</v>
      </c>
    </row>
    <row r="12" spans="1:2" ht="12.75">
      <c r="A12">
        <v>110</v>
      </c>
      <c r="B12" s="17" t="s">
        <v>277</v>
      </c>
    </row>
    <row r="13" spans="1:2" ht="12.75">
      <c r="A13">
        <v>100</v>
      </c>
      <c r="B13" s="17" t="s">
        <v>277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Airfield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SGRS Worksheet</dc:title>
  <dc:subject>SGRS Worksheet</dc:subject>
  <dc:creator>John Chapman</dc:creator>
  <cp:keywords>SGRS Stackable CCR CCF CHF CSF CCT</cp:keywords>
  <dc:description>Requirements Gathering for SGRS and Stackable CCTs</dc:description>
  <cp:lastModifiedBy>Chapman John</cp:lastModifiedBy>
  <cp:lastPrinted>2013-02-20T15:45:59Z</cp:lastPrinted>
  <dcterms:created xsi:type="dcterms:W3CDTF">2001-06-19T21:18:48Z</dcterms:created>
  <dcterms:modified xsi:type="dcterms:W3CDTF">2015-01-20T21:50:02Z</dcterms:modified>
  <cp:category/>
  <cp:version/>
  <cp:contentType/>
  <cp:contentStatus/>
</cp:coreProperties>
</file>